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novna škola Slano\OneDrive - CARNET\Desktop\2025\GODIŠNJI IZVJEŠTAJ IZVRŠENJA FI 2024\Za usvajanje\"/>
    </mc:Choice>
  </mc:AlternateContent>
  <xr:revisionPtr revIDLastSave="0" documentId="13_ncr:1_{984D5912-D07B-40C5-9159-B287646D4095}" xr6:coauthVersionLast="47" xr6:coauthVersionMax="47" xr10:uidLastSave="{00000000-0000-0000-0000-000000000000}"/>
  <bookViews>
    <workbookView xWindow="-120" yWindow="-120" windowWidth="24240" windowHeight="13020" tabRatio="604" xr2:uid="{00000000-000D-0000-FFFF-FFFF00000000}"/>
  </bookViews>
  <sheets>
    <sheet name="SAŽETAK" sheetId="23" r:id="rId1"/>
    <sheet name="RAČUN PRIHODA I RASHODA" sheetId="19" r:id="rId2"/>
    <sheet name="Rashodi i prihodi prema izvoru" sheetId="20" r:id="rId3"/>
    <sheet name="Rashodi prema funkcijskoj klas" sheetId="21" r:id="rId4"/>
    <sheet name="Račun financiranja" sheetId="24" r:id="rId5"/>
    <sheet name="Račun fin prema izvorima f" sheetId="25" r:id="rId6"/>
    <sheet name="Rashodi prema programskoj klas" sheetId="22" r:id="rId7"/>
  </sheets>
  <definedNames>
    <definedName name="_xlnm.Print_Area" localSheetId="1">'RAČUN PRIHODA I RASHODA'!$B$1:$M$111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0" l="1"/>
  <c r="E29" i="20"/>
  <c r="E32" i="20"/>
  <c r="E30" i="20"/>
  <c r="F30" i="20" s="1"/>
  <c r="G17" i="22"/>
  <c r="G15" i="22"/>
  <c r="G68" i="22"/>
  <c r="G117" i="22"/>
  <c r="G137" i="22"/>
  <c r="G132" i="22"/>
  <c r="G249" i="22"/>
  <c r="G119" i="22"/>
  <c r="G118" i="22" s="1"/>
  <c r="H118" i="22" s="1"/>
  <c r="K12" i="23"/>
  <c r="K10" i="23"/>
  <c r="J12" i="23"/>
  <c r="J23" i="23"/>
  <c r="K22" i="23"/>
  <c r="J22" i="23"/>
  <c r="K15" i="23"/>
  <c r="J15" i="23"/>
  <c r="K14" i="23"/>
  <c r="K13" i="23"/>
  <c r="J14" i="23"/>
  <c r="J13" i="23"/>
  <c r="J10" i="23"/>
  <c r="H26" i="22"/>
  <c r="H28" i="22"/>
  <c r="H30" i="22"/>
  <c r="H32" i="22"/>
  <c r="H33" i="22"/>
  <c r="H35" i="22"/>
  <c r="H36" i="22"/>
  <c r="H37" i="22"/>
  <c r="H39" i="22"/>
  <c r="H41" i="22"/>
  <c r="H42" i="22"/>
  <c r="H44" i="22"/>
  <c r="H45" i="22"/>
  <c r="H46" i="22"/>
  <c r="H48" i="22"/>
  <c r="H50" i="22"/>
  <c r="H52" i="22"/>
  <c r="H53" i="22"/>
  <c r="H55" i="22"/>
  <c r="H56" i="22"/>
  <c r="H57" i="22"/>
  <c r="H58" i="22"/>
  <c r="H60" i="22"/>
  <c r="H61" i="22"/>
  <c r="H62" i="22"/>
  <c r="H65" i="22"/>
  <c r="H66" i="22"/>
  <c r="H67" i="22"/>
  <c r="H68" i="22"/>
  <c r="H71" i="22"/>
  <c r="H72" i="22"/>
  <c r="H73" i="22"/>
  <c r="H77" i="22"/>
  <c r="H79" i="22"/>
  <c r="H80" i="22"/>
  <c r="H82" i="22"/>
  <c r="H86" i="22"/>
  <c r="H87" i="22"/>
  <c r="H89" i="22"/>
  <c r="H94" i="22"/>
  <c r="H101" i="22"/>
  <c r="H105" i="22"/>
  <c r="H106" i="22"/>
  <c r="H109" i="22"/>
  <c r="H110" i="22"/>
  <c r="H113" i="22"/>
  <c r="H115" i="22"/>
  <c r="H120" i="22"/>
  <c r="H127" i="22"/>
  <c r="H128" i="22"/>
  <c r="H129" i="22"/>
  <c r="H130" i="22"/>
  <c r="H132" i="22"/>
  <c r="H133" i="22"/>
  <c r="H134" i="22"/>
  <c r="H135" i="22"/>
  <c r="H137" i="22"/>
  <c r="H138" i="22"/>
  <c r="H139" i="22"/>
  <c r="H140" i="22"/>
  <c r="H141" i="22"/>
  <c r="H142" i="22"/>
  <c r="H151" i="22"/>
  <c r="H152" i="22"/>
  <c r="H153" i="22"/>
  <c r="H154" i="22"/>
  <c r="H156" i="22"/>
  <c r="H157" i="22"/>
  <c r="H158" i="22"/>
  <c r="H159" i="22"/>
  <c r="H163" i="22"/>
  <c r="H164" i="22"/>
  <c r="H166" i="22"/>
  <c r="H167" i="22"/>
  <c r="H168" i="22"/>
  <c r="H171" i="22"/>
  <c r="H177" i="22"/>
  <c r="H178" i="22"/>
  <c r="H186" i="22"/>
  <c r="H187" i="22"/>
  <c r="H189" i="22"/>
  <c r="H194" i="22"/>
  <c r="H202" i="22"/>
  <c r="H209" i="22"/>
  <c r="H212" i="22"/>
  <c r="H214" i="22"/>
  <c r="H215" i="22"/>
  <c r="H216" i="22"/>
  <c r="H217" i="22"/>
  <c r="H219" i="22"/>
  <c r="H220" i="22"/>
  <c r="H221" i="22"/>
  <c r="H222" i="22"/>
  <c r="H225" i="22"/>
  <c r="H226" i="22"/>
  <c r="H227" i="22"/>
  <c r="H229" i="22"/>
  <c r="H231" i="22"/>
  <c r="H233" i="22"/>
  <c r="H234" i="22"/>
  <c r="H236" i="22"/>
  <c r="H237" i="22"/>
  <c r="H240" i="22"/>
  <c r="H241" i="22"/>
  <c r="H243" i="22"/>
  <c r="H245" i="22"/>
  <c r="F133" i="22"/>
  <c r="F132" i="22" s="1"/>
  <c r="F226" i="22"/>
  <c r="G227" i="22"/>
  <c r="G229" i="22"/>
  <c r="G231" i="22"/>
  <c r="G226" i="22" s="1"/>
  <c r="G225" i="22" s="1"/>
  <c r="G234" i="22"/>
  <c r="G233" i="22" s="1"/>
  <c r="F233" i="22"/>
  <c r="F225" i="22" s="1"/>
  <c r="F224" i="22" s="1"/>
  <c r="F240" i="22"/>
  <c r="F239" i="22" s="1"/>
  <c r="G241" i="22"/>
  <c r="G243" i="22"/>
  <c r="G240" i="22" s="1"/>
  <c r="G239" i="22" s="1"/>
  <c r="H239" i="22" s="1"/>
  <c r="G245" i="22"/>
  <c r="F247" i="22"/>
  <c r="G248" i="22"/>
  <c r="G247" i="22" s="1"/>
  <c r="H247" i="22" s="1"/>
  <c r="F178" i="22"/>
  <c r="F177" i="22" s="1"/>
  <c r="F186" i="22"/>
  <c r="G202" i="22"/>
  <c r="G207" i="22"/>
  <c r="G206" i="22" s="1"/>
  <c r="F206" i="22"/>
  <c r="F209" i="22"/>
  <c r="G210" i="22"/>
  <c r="G212" i="22"/>
  <c r="G217" i="22"/>
  <c r="G216" i="22" s="1"/>
  <c r="G215" i="22" s="1"/>
  <c r="G214" i="22" s="1"/>
  <c r="F216" i="22"/>
  <c r="F215" i="22" s="1"/>
  <c r="F214" i="22" s="1"/>
  <c r="G222" i="22"/>
  <c r="G221" i="22" s="1"/>
  <c r="G220" i="22" s="1"/>
  <c r="G219" i="22" s="1"/>
  <c r="F221" i="22"/>
  <c r="F220" i="22" s="1"/>
  <c r="F219" i="22" s="1"/>
  <c r="F179" i="22"/>
  <c r="F168" i="22"/>
  <c r="F167" i="22" s="1"/>
  <c r="F166" i="22" s="1"/>
  <c r="G169" i="22"/>
  <c r="G159" i="22"/>
  <c r="G158" i="22" s="1"/>
  <c r="F158" i="22"/>
  <c r="G164" i="22"/>
  <c r="G163" i="22" s="1"/>
  <c r="F163" i="22"/>
  <c r="G146" i="22"/>
  <c r="G148" i="22"/>
  <c r="F146" i="22"/>
  <c r="F148" i="22"/>
  <c r="F153" i="22"/>
  <c r="F152" i="22" s="1"/>
  <c r="F151" i="22" s="1"/>
  <c r="G154" i="22"/>
  <c r="G153" i="22" s="1"/>
  <c r="F141" i="22"/>
  <c r="F140" i="22" s="1"/>
  <c r="F139" i="22" s="1"/>
  <c r="G142" i="22"/>
  <c r="G141" i="22" s="1"/>
  <c r="G140" i="22" s="1"/>
  <c r="G139" i="22" s="1"/>
  <c r="F72" i="22"/>
  <c r="F89" i="22"/>
  <c r="F94" i="22"/>
  <c r="G106" i="22"/>
  <c r="G105" i="22" s="1"/>
  <c r="F105" i="22"/>
  <c r="F109" i="22"/>
  <c r="G115" i="22"/>
  <c r="F117" i="22"/>
  <c r="G120" i="22"/>
  <c r="G130" i="22"/>
  <c r="G129" i="22" s="1"/>
  <c r="G128" i="22" s="1"/>
  <c r="G127" i="22" s="1"/>
  <c r="F129" i="22"/>
  <c r="F128" i="22" s="1"/>
  <c r="F127" i="22" s="1"/>
  <c r="G62" i="22"/>
  <c r="G61" i="22" s="1"/>
  <c r="G60" i="22" s="1"/>
  <c r="F61" i="22"/>
  <c r="F60" i="22" s="1"/>
  <c r="G58" i="22"/>
  <c r="G57" i="22" s="1"/>
  <c r="F57" i="22"/>
  <c r="F56" i="22" s="1"/>
  <c r="G53" i="22"/>
  <c r="G52" i="22" s="1"/>
  <c r="F45" i="22"/>
  <c r="F52" i="22"/>
  <c r="F36" i="22"/>
  <c r="F41" i="22"/>
  <c r="F25" i="22"/>
  <c r="F32" i="22"/>
  <c r="D10" i="21"/>
  <c r="F7" i="20"/>
  <c r="G7" i="20"/>
  <c r="F8" i="20"/>
  <c r="G8" i="20"/>
  <c r="F10" i="20"/>
  <c r="G10" i="20"/>
  <c r="F11" i="20"/>
  <c r="G11" i="20"/>
  <c r="F12" i="20"/>
  <c r="G12" i="20"/>
  <c r="G13" i="20"/>
  <c r="F14" i="20"/>
  <c r="G14" i="20"/>
  <c r="F16" i="20"/>
  <c r="G16" i="20"/>
  <c r="F17" i="20"/>
  <c r="G17" i="20"/>
  <c r="F18" i="20"/>
  <c r="G18" i="20"/>
  <c r="F21" i="20"/>
  <c r="G21" i="20"/>
  <c r="F22" i="20"/>
  <c r="G22" i="20"/>
  <c r="F23" i="20"/>
  <c r="G23" i="20"/>
  <c r="F24" i="20"/>
  <c r="G24" i="20"/>
  <c r="F25" i="20"/>
  <c r="G25" i="20"/>
  <c r="F26" i="20"/>
  <c r="G26" i="20"/>
  <c r="G27" i="20"/>
  <c r="F28" i="20"/>
  <c r="G28" i="20"/>
  <c r="G30" i="20"/>
  <c r="F31" i="20"/>
  <c r="G31" i="20"/>
  <c r="F32" i="20"/>
  <c r="G32" i="20"/>
  <c r="D29" i="20"/>
  <c r="D20" i="20"/>
  <c r="E25" i="20"/>
  <c r="D25" i="20"/>
  <c r="F29" i="20"/>
  <c r="E17" i="20"/>
  <c r="E15" i="20" s="1"/>
  <c r="G15" i="20" s="1"/>
  <c r="E14" i="20"/>
  <c r="E11" i="20" s="1"/>
  <c r="E8" i="20"/>
  <c r="D8" i="20"/>
  <c r="D14" i="20"/>
  <c r="D11" i="20" s="1"/>
  <c r="D17" i="20"/>
  <c r="D16" i="20"/>
  <c r="D15" i="20" s="1"/>
  <c r="D9" i="20"/>
  <c r="K86" i="19"/>
  <c r="J42" i="19"/>
  <c r="K42" i="19"/>
  <c r="J43" i="19"/>
  <c r="K43" i="19"/>
  <c r="J44" i="19"/>
  <c r="K44" i="19"/>
  <c r="J45" i="19"/>
  <c r="J46" i="19"/>
  <c r="J47" i="19"/>
  <c r="K47" i="19"/>
  <c r="J48" i="19"/>
  <c r="J49" i="19"/>
  <c r="K49" i="19"/>
  <c r="J50" i="19"/>
  <c r="J51" i="19"/>
  <c r="K51" i="19"/>
  <c r="J52" i="19"/>
  <c r="K52" i="19"/>
  <c r="J53" i="19"/>
  <c r="J54" i="19"/>
  <c r="J55" i="19"/>
  <c r="J56" i="19"/>
  <c r="K56" i="19"/>
  <c r="J57" i="19"/>
  <c r="J58" i="19"/>
  <c r="J59" i="19"/>
  <c r="J60" i="19"/>
  <c r="J61" i="19"/>
  <c r="J62" i="19"/>
  <c r="K62" i="19"/>
  <c r="J63" i="19"/>
  <c r="J64" i="19"/>
  <c r="J66" i="19"/>
  <c r="J68" i="19"/>
  <c r="J69" i="19"/>
  <c r="J70" i="19"/>
  <c r="J71" i="19"/>
  <c r="K71" i="19"/>
  <c r="J72" i="19"/>
  <c r="J73" i="19"/>
  <c r="K73" i="19"/>
  <c r="J74" i="19"/>
  <c r="J75" i="19"/>
  <c r="J76" i="19"/>
  <c r="J77" i="19"/>
  <c r="J78" i="19"/>
  <c r="J79" i="19"/>
  <c r="K79" i="19"/>
  <c r="J80" i="19"/>
  <c r="K80" i="19"/>
  <c r="J81" i="19"/>
  <c r="J82" i="19"/>
  <c r="J83" i="19"/>
  <c r="K83" i="19"/>
  <c r="J84" i="19"/>
  <c r="K84" i="19"/>
  <c r="J85" i="19"/>
  <c r="J86" i="19"/>
  <c r="J87" i="19"/>
  <c r="K87" i="19"/>
  <c r="J88" i="19"/>
  <c r="J89" i="19"/>
  <c r="K89" i="19"/>
  <c r="J90" i="19"/>
  <c r="K90" i="19"/>
  <c r="J93" i="19"/>
  <c r="K93" i="19"/>
  <c r="J94" i="19"/>
  <c r="J95" i="19"/>
  <c r="K95" i="19"/>
  <c r="J96" i="19"/>
  <c r="K96" i="19"/>
  <c r="J97" i="19"/>
  <c r="H107" i="19"/>
  <c r="H108" i="19"/>
  <c r="H42" i="19"/>
  <c r="H41" i="19" s="1"/>
  <c r="H89" i="19"/>
  <c r="H51" i="19"/>
  <c r="H43" i="19"/>
  <c r="H93" i="19"/>
  <c r="H84" i="19"/>
  <c r="H80" i="19"/>
  <c r="H73" i="19"/>
  <c r="H62" i="19"/>
  <c r="H56" i="19"/>
  <c r="H52" i="19"/>
  <c r="H49" i="19"/>
  <c r="H47" i="19"/>
  <c r="H44" i="19"/>
  <c r="G44" i="19"/>
  <c r="G43" i="19" s="1"/>
  <c r="I62" i="19"/>
  <c r="I56" i="19"/>
  <c r="I51" i="19" s="1"/>
  <c r="I52" i="19"/>
  <c r="I73" i="19"/>
  <c r="I71" i="19"/>
  <c r="I65" i="19"/>
  <c r="I44" i="19"/>
  <c r="J17" i="19"/>
  <c r="J26" i="19"/>
  <c r="J31" i="19"/>
  <c r="J32" i="19"/>
  <c r="K32" i="19"/>
  <c r="J35" i="19"/>
  <c r="I13" i="19"/>
  <c r="J13" i="19" s="1"/>
  <c r="I34" i="19"/>
  <c r="I25" i="19"/>
  <c r="I23" i="19"/>
  <c r="J23" i="19" s="1"/>
  <c r="I16" i="19"/>
  <c r="J16" i="19" s="1"/>
  <c r="H31" i="19"/>
  <c r="K31" i="19" s="1"/>
  <c r="H25" i="19"/>
  <c r="H24" i="19" s="1"/>
  <c r="H22" i="19"/>
  <c r="H15" i="19"/>
  <c r="H12" i="19" s="1"/>
  <c r="H10" i="22"/>
  <c r="F17" i="22"/>
  <c r="G16" i="22"/>
  <c r="F16" i="22"/>
  <c r="F15" i="22"/>
  <c r="G13" i="22"/>
  <c r="F13" i="22"/>
  <c r="G12" i="22"/>
  <c r="F12" i="22"/>
  <c r="G11" i="22"/>
  <c r="F11" i="22"/>
  <c r="G9" i="22"/>
  <c r="F9" i="22"/>
  <c r="G104" i="22"/>
  <c r="G100" i="22"/>
  <c r="G97" i="22"/>
  <c r="G95" i="22"/>
  <c r="G92" i="22"/>
  <c r="G90" i="22"/>
  <c r="G78" i="22"/>
  <c r="G77" i="22" s="1"/>
  <c r="G76" i="22"/>
  <c r="G75" i="22"/>
  <c r="G74" i="22"/>
  <c r="F71" i="22"/>
  <c r="G80" i="22"/>
  <c r="G79" i="22" s="1"/>
  <c r="F79" i="22"/>
  <c r="G83" i="22"/>
  <c r="F83" i="22"/>
  <c r="G114" i="22"/>
  <c r="G113" i="22" s="1"/>
  <c r="G112" i="22"/>
  <c r="G111" i="22"/>
  <c r="G123" i="22"/>
  <c r="G125" i="22"/>
  <c r="F122" i="22"/>
  <c r="G51" i="22"/>
  <c r="G50" i="22" s="1"/>
  <c r="G49" i="22"/>
  <c r="G48" i="22" s="1"/>
  <c r="G47" i="22"/>
  <c r="G46" i="22" s="1"/>
  <c r="G43" i="22"/>
  <c r="G41" i="22" s="1"/>
  <c r="G40" i="22"/>
  <c r="G39" i="22" s="1"/>
  <c r="G38" i="22"/>
  <c r="G37" i="22" s="1"/>
  <c r="G34" i="22"/>
  <c r="G33" i="22" s="1"/>
  <c r="G32" i="22" s="1"/>
  <c r="G31" i="22"/>
  <c r="G30" i="22" s="1"/>
  <c r="G29" i="22"/>
  <c r="G28" i="22" s="1"/>
  <c r="G27" i="22"/>
  <c r="G26" i="22" s="1"/>
  <c r="G161" i="22"/>
  <c r="G175" i="22"/>
  <c r="G174" i="22" s="1"/>
  <c r="G242" i="22"/>
  <c r="G244" i="22"/>
  <c r="G246" i="22"/>
  <c r="G237" i="22"/>
  <c r="G236" i="22" s="1"/>
  <c r="F236" i="22"/>
  <c r="G177" i="22"/>
  <c r="G209" i="22"/>
  <c r="G200" i="22"/>
  <c r="G199" i="22"/>
  <c r="G198" i="22"/>
  <c r="G197" i="22"/>
  <c r="G196" i="22"/>
  <c r="G195" i="22"/>
  <c r="G194" i="22" s="1"/>
  <c r="G193" i="22"/>
  <c r="G192" i="22"/>
  <c r="G191" i="22"/>
  <c r="G190" i="22"/>
  <c r="G189" i="22" s="1"/>
  <c r="G181" i="22"/>
  <c r="G180" i="22" s="1"/>
  <c r="G188" i="22"/>
  <c r="G187" i="22" s="1"/>
  <c r="G186" i="22" s="1"/>
  <c r="G185" i="22"/>
  <c r="G184" i="22" s="1"/>
  <c r="G183" i="22"/>
  <c r="G182" i="22" s="1"/>
  <c r="G173" i="22"/>
  <c r="G171" i="22" s="1"/>
  <c r="G138" i="22"/>
  <c r="G135" i="22"/>
  <c r="G134" i="22"/>
  <c r="G133" i="22"/>
  <c r="F135" i="22"/>
  <c r="F138" i="22"/>
  <c r="F137" i="22"/>
  <c r="F134" i="22"/>
  <c r="G103" i="22"/>
  <c r="G99" i="22"/>
  <c r="G96" i="22"/>
  <c r="G88" i="22"/>
  <c r="G87" i="22" s="1"/>
  <c r="G67" i="22"/>
  <c r="G66" i="22"/>
  <c r="G65" i="22"/>
  <c r="F68" i="22"/>
  <c r="F67" i="22"/>
  <c r="F66" i="22"/>
  <c r="F65" i="22"/>
  <c r="G22" i="22"/>
  <c r="F22" i="22"/>
  <c r="F21" i="22"/>
  <c r="G21" i="22"/>
  <c r="G20" i="22"/>
  <c r="F20" i="22"/>
  <c r="C6" i="21"/>
  <c r="C9" i="21"/>
  <c r="F11" i="21"/>
  <c r="C29" i="20"/>
  <c r="C15" i="20"/>
  <c r="G73" i="19"/>
  <c r="G80" i="19"/>
  <c r="G72" i="19"/>
  <c r="G71" i="19" s="1"/>
  <c r="G14" i="19"/>
  <c r="G13" i="19" s="1"/>
  <c r="G34" i="19"/>
  <c r="G33" i="19" s="1"/>
  <c r="G25" i="19"/>
  <c r="E9" i="20"/>
  <c r="F9" i="20" s="1"/>
  <c r="I80" i="19"/>
  <c r="I19" i="19"/>
  <c r="I18" i="19" s="1"/>
  <c r="E6" i="20" l="1"/>
  <c r="E20" i="20"/>
  <c r="G29" i="20"/>
  <c r="G224" i="22"/>
  <c r="H224" i="22" s="1"/>
  <c r="H248" i="22"/>
  <c r="G179" i="22"/>
  <c r="G178" i="22" s="1"/>
  <c r="F157" i="22"/>
  <c r="F156" i="22" s="1"/>
  <c r="G168" i="22"/>
  <c r="G167" i="22" s="1"/>
  <c r="G166" i="22" s="1"/>
  <c r="G157" i="22"/>
  <c r="G156" i="22" s="1"/>
  <c r="G145" i="22"/>
  <c r="G144" i="22" s="1"/>
  <c r="F145" i="22"/>
  <c r="F144" i="22" s="1"/>
  <c r="F64" i="22"/>
  <c r="F108" i="22"/>
  <c r="G152" i="22"/>
  <c r="G151" i="22" s="1"/>
  <c r="H117" i="22"/>
  <c r="G94" i="22"/>
  <c r="G110" i="22"/>
  <c r="G109" i="22" s="1"/>
  <c r="G42" i="22"/>
  <c r="F55" i="22"/>
  <c r="G101" i="22"/>
  <c r="G73" i="22"/>
  <c r="G72" i="22" s="1"/>
  <c r="G71" i="22" s="1"/>
  <c r="G89" i="22"/>
  <c r="G45" i="22"/>
  <c r="G25" i="22"/>
  <c r="G24" i="22" s="1"/>
  <c r="F24" i="22"/>
  <c r="F35" i="22"/>
  <c r="F86" i="22"/>
  <c r="F82" i="22" s="1"/>
  <c r="F70" i="22" s="1"/>
  <c r="G56" i="22"/>
  <c r="G55" i="22" s="1"/>
  <c r="G44" i="22"/>
  <c r="G8" i="22"/>
  <c r="H11" i="22"/>
  <c r="H16" i="22"/>
  <c r="H12" i="22"/>
  <c r="H17" i="22"/>
  <c r="H15" i="22"/>
  <c r="H13" i="22"/>
  <c r="F8" i="22"/>
  <c r="F15" i="20"/>
  <c r="G9" i="20"/>
  <c r="J25" i="19"/>
  <c r="J14" i="19"/>
  <c r="J34" i="19"/>
  <c r="K25" i="19"/>
  <c r="I33" i="19"/>
  <c r="G122" i="22"/>
  <c r="H21" i="22"/>
  <c r="H22" i="22"/>
  <c r="F44" i="22"/>
  <c r="H20" i="22"/>
  <c r="G36" i="22"/>
  <c r="H25" i="22"/>
  <c r="G64" i="22"/>
  <c r="H64" i="22" s="1"/>
  <c r="G19" i="22"/>
  <c r="F19" i="22"/>
  <c r="H105" i="19"/>
  <c r="H104" i="19" s="1"/>
  <c r="H103" i="19" s="1"/>
  <c r="H86" i="19"/>
  <c r="H79" i="19"/>
  <c r="H90" i="19"/>
  <c r="I87" i="19"/>
  <c r="I86" i="19" s="1"/>
  <c r="G105" i="19"/>
  <c r="G104" i="19" s="1"/>
  <c r="G87" i="19"/>
  <c r="G86" i="19" s="1"/>
  <c r="G27" i="19"/>
  <c r="G24" i="19" s="1"/>
  <c r="G15" i="19"/>
  <c r="G12" i="19" s="1"/>
  <c r="I15" i="19"/>
  <c r="G12" i="23"/>
  <c r="H30" i="19"/>
  <c r="F20" i="20" l="1"/>
  <c r="G20" i="20"/>
  <c r="H8" i="22"/>
  <c r="G86" i="22"/>
  <c r="G82" i="22" s="1"/>
  <c r="G108" i="22"/>
  <c r="H108" i="22" s="1"/>
  <c r="G35" i="22"/>
  <c r="G23" i="22" s="1"/>
  <c r="F23" i="22"/>
  <c r="J33" i="19"/>
  <c r="J15" i="19"/>
  <c r="K15" i="19"/>
  <c r="I12" i="19"/>
  <c r="H19" i="22"/>
  <c r="G103" i="19"/>
  <c r="J106" i="19"/>
  <c r="K106" i="19"/>
  <c r="H9" i="23"/>
  <c r="H83" i="19"/>
  <c r="G70" i="22" l="1"/>
  <c r="H70" i="22" s="1"/>
  <c r="H23" i="22"/>
  <c r="H24" i="22"/>
  <c r="H9" i="22"/>
  <c r="I105" i="19"/>
  <c r="I104" i="19" l="1"/>
  <c r="J105" i="19"/>
  <c r="K105" i="19"/>
  <c r="H23" i="23"/>
  <c r="I21" i="23"/>
  <c r="H21" i="23"/>
  <c r="G21" i="23"/>
  <c r="G9" i="21"/>
  <c r="F10" i="21"/>
  <c r="F9" i="21"/>
  <c r="D8" i="21"/>
  <c r="C8" i="21"/>
  <c r="D23" i="20"/>
  <c r="D21" i="20"/>
  <c r="C11" i="20"/>
  <c r="C23" i="20"/>
  <c r="C21" i="20"/>
  <c r="C9" i="20"/>
  <c r="C7" i="20"/>
  <c r="I84" i="19"/>
  <c r="G91" i="19"/>
  <c r="G93" i="19"/>
  <c r="G96" i="19"/>
  <c r="G52" i="19"/>
  <c r="G56" i="19"/>
  <c r="G62" i="19"/>
  <c r="G49" i="19"/>
  <c r="G47" i="19"/>
  <c r="G30" i="19"/>
  <c r="G9" i="23"/>
  <c r="I22" i="19"/>
  <c r="H21" i="19"/>
  <c r="H29" i="19"/>
  <c r="I27" i="19"/>
  <c r="I24" i="19" s="1"/>
  <c r="G19" i="19"/>
  <c r="I12" i="23"/>
  <c r="H12" i="23"/>
  <c r="J9" i="23"/>
  <c r="G84" i="19"/>
  <c r="G22" i="19"/>
  <c r="G10" i="21"/>
  <c r="E8" i="21"/>
  <c r="E7" i="21" s="1"/>
  <c r="E6" i="21" s="1"/>
  <c r="E21" i="20"/>
  <c r="E23" i="20"/>
  <c r="D26" i="20"/>
  <c r="E7" i="20"/>
  <c r="D7" i="20"/>
  <c r="D6" i="20" s="1"/>
  <c r="H95" i="19"/>
  <c r="H18" i="19"/>
  <c r="I91" i="19"/>
  <c r="I49" i="19"/>
  <c r="I93" i="19"/>
  <c r="I96" i="19"/>
  <c r="K9" i="23"/>
  <c r="C6" i="20" l="1"/>
  <c r="I21" i="19"/>
  <c r="J22" i="19"/>
  <c r="K22" i="19"/>
  <c r="J24" i="19"/>
  <c r="K24" i="19"/>
  <c r="G51" i="19"/>
  <c r="F6" i="21"/>
  <c r="C7" i="21"/>
  <c r="F7" i="21" s="1"/>
  <c r="F8" i="21"/>
  <c r="D7" i="21"/>
  <c r="D6" i="21" s="1"/>
  <c r="G6" i="21" s="1"/>
  <c r="G8" i="21"/>
  <c r="G83" i="19"/>
  <c r="G79" i="19"/>
  <c r="G95" i="19"/>
  <c r="G21" i="19"/>
  <c r="G29" i="19"/>
  <c r="G18" i="19"/>
  <c r="G15" i="23"/>
  <c r="G23" i="23" s="1"/>
  <c r="C25" i="20"/>
  <c r="C20" i="20" s="1"/>
  <c r="I47" i="19"/>
  <c r="I9" i="23"/>
  <c r="I15" i="23" s="1"/>
  <c r="H11" i="19"/>
  <c r="H10" i="19" s="1"/>
  <c r="H15" i="23"/>
  <c r="G90" i="19"/>
  <c r="I103" i="19"/>
  <c r="K104" i="19"/>
  <c r="J104" i="19"/>
  <c r="I83" i="19"/>
  <c r="I95" i="19"/>
  <c r="I90" i="19"/>
  <c r="I42" i="19"/>
  <c r="I30" i="19"/>
  <c r="I79" i="19"/>
  <c r="G7" i="21" l="1"/>
  <c r="G6" i="20"/>
  <c r="F6" i="20"/>
  <c r="J30" i="19"/>
  <c r="K30" i="19"/>
  <c r="J21" i="19"/>
  <c r="K21" i="19"/>
  <c r="G11" i="19"/>
  <c r="G10" i="19" s="1"/>
  <c r="G107" i="19" s="1"/>
  <c r="I89" i="19"/>
  <c r="G89" i="19"/>
  <c r="G42" i="19"/>
  <c r="J103" i="19"/>
  <c r="K103" i="19"/>
  <c r="I23" i="23"/>
  <c r="I43" i="19"/>
  <c r="I29" i="19"/>
  <c r="I11" i="19" s="1"/>
  <c r="I41" i="19" l="1"/>
  <c r="I108" i="19" s="1"/>
  <c r="K108" i="19" s="1"/>
  <c r="J29" i="19"/>
  <c r="K29" i="19"/>
  <c r="G41" i="19"/>
  <c r="K23" i="23"/>
  <c r="J12" i="19"/>
  <c r="K12" i="19"/>
  <c r="G108" i="19" l="1"/>
  <c r="J41" i="19"/>
  <c r="J108" i="19"/>
  <c r="G109" i="19"/>
  <c r="G110" i="19" s="1"/>
  <c r="K41" i="19"/>
  <c r="J11" i="19"/>
  <c r="I10" i="19"/>
  <c r="I107" i="19" s="1"/>
  <c r="K11" i="19"/>
  <c r="I109" i="19" l="1"/>
  <c r="I110" i="19" s="1"/>
  <c r="K107" i="19"/>
  <c r="J107" i="19"/>
  <c r="J10" i="19"/>
  <c r="K10" i="19"/>
</calcChain>
</file>

<file path=xl/sharedStrings.xml><?xml version="1.0" encoding="utf-8"?>
<sst xmlns="http://schemas.openxmlformats.org/spreadsheetml/2006/main" count="566" uniqueCount="248">
  <si>
    <t>Rashodi za zaposlene</t>
  </si>
  <si>
    <t>Plaće</t>
  </si>
  <si>
    <t xml:space="preserve">Ostali rashodi za zaposlene </t>
  </si>
  <si>
    <t>Doprinosi na plaće</t>
  </si>
  <si>
    <t>Materijalni rashodi</t>
  </si>
  <si>
    <t>Naknade troškova zaposlenima</t>
  </si>
  <si>
    <t>Naknade za prijevoz, za rad na terenu i odvojeni život</t>
  </si>
  <si>
    <t>Rashodi za materijal i energiju</t>
  </si>
  <si>
    <t>Uredski materijal i ostali materijalni rashodi</t>
  </si>
  <si>
    <t>Rashodi za usluge</t>
  </si>
  <si>
    <t>Ostale usluge</t>
  </si>
  <si>
    <t>Ostali nespomenuti rashodi poslovanja</t>
  </si>
  <si>
    <t>Financijski rashodi</t>
  </si>
  <si>
    <t>Ostali financijski rashodi</t>
  </si>
  <si>
    <t>Postrojenja i oprema</t>
  </si>
  <si>
    <t>Rashodi za nabavu proizvedene dugotrajne imovine</t>
  </si>
  <si>
    <t>Pomoći iz inozemstva i od subjekata unutar općeg proračuna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</si>
  <si>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</si>
  <si>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</si>
  <si>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</si>
  <si>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Prihodi po posebnim propisima</t>
  </si>
  <si>
    <t>Pomoći proračunskim korisnicima iz proračuna koji im nije nadležan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</si>
  <si>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</si>
  <si>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</si>
  <si>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</si>
  <si>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</si>
  <si>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</si>
  <si>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</si>
  <si>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</si>
  <si>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</si>
  <si>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</si>
  <si>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</si>
  <si>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</si>
  <si>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</si>
  <si>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</si>
  <si>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</si>
  <si>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</si>
  <si>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</si>
  <si>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</si>
  <si>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</si>
  <si>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</si>
  <si>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Pristojbe i naknade</t>
  </si>
  <si>
    <t>3299</t>
  </si>
  <si>
    <t>3431</t>
  </si>
  <si>
    <t>Bankarske usluge i usluge platnog prometa</t>
  </si>
  <si>
    <t xml:space="preserve">UKUPNO PRIHODI </t>
  </si>
  <si>
    <t>UKUPNO RASHODI</t>
  </si>
  <si>
    <t>Stručno usavršavanje zaposlenika</t>
  </si>
  <si>
    <t>Materijal i sirovine</t>
  </si>
  <si>
    <t>Sitni inventar i auto gume</t>
  </si>
  <si>
    <t>Intelektualne i osobne usluge</t>
  </si>
  <si>
    <t>Članarine i norme</t>
  </si>
  <si>
    <t>Knjige,umjetnička djela i ostale izložb.vrijednosti</t>
  </si>
  <si>
    <t>Knjige</t>
  </si>
  <si>
    <t>Naknade građanima i kućanstvima u naravi</t>
  </si>
  <si>
    <t>Prihodi od imovine</t>
  </si>
  <si>
    <t>Prihodi od financijske imovine</t>
  </si>
  <si>
    <t>Rashodi za dodatna ulaganja na nefinancijskoj imovini</t>
  </si>
  <si>
    <t>Dodatna ulaganja na građevinskim objektima</t>
  </si>
  <si>
    <t>Tekuće donacije</t>
  </si>
  <si>
    <t>IZVJEŠTAJ O PRIHODIMA I RASHODIMA PREMA IZVORIMA FINANCIRANJA</t>
  </si>
  <si>
    <t>BROJČANA OZNAKA I NAZIV</t>
  </si>
  <si>
    <t>INDEKS</t>
  </si>
  <si>
    <t>1 Opći prihodi i primici</t>
  </si>
  <si>
    <t>11 Opći prihodi i primici</t>
  </si>
  <si>
    <t>2 Doprinosi</t>
  </si>
  <si>
    <t>21 Doprinosi za mirovinsko osiguranje</t>
  </si>
  <si>
    <t>3 Vlastiti prihodi</t>
  </si>
  <si>
    <t>4 Pomoći</t>
  </si>
  <si>
    <t>44 Decentralizirana sredstva</t>
  </si>
  <si>
    <t xml:space="preserve">   43 Prihodi za posebne namjene</t>
  </si>
  <si>
    <t>32 Vlastiti prihodi PK - prenesena sredstva</t>
  </si>
  <si>
    <t>5 Ostale pomoći PK</t>
  </si>
  <si>
    <t>58 Ostale pomoći PK</t>
  </si>
  <si>
    <t>6 Donacije</t>
  </si>
  <si>
    <t>62 Donacije PK</t>
  </si>
  <si>
    <t>IZVJEŠTAJ O RASHODIMA PREMA FUNKCIJSKOJ KLASIFIKACIJI</t>
  </si>
  <si>
    <t>II. POSEBNI DIO</t>
  </si>
  <si>
    <t>IZVJEŠTAJ PO PROGRAMSKOJ KLASIFIKACIJI</t>
  </si>
  <si>
    <t>09 Obrazovanje</t>
  </si>
  <si>
    <t>9112 Osnovno obrazovanje</t>
  </si>
  <si>
    <t>096 Dodatne usluge u obrazovanju</t>
  </si>
  <si>
    <t>Program 1207</t>
  </si>
  <si>
    <t>Zakonski standard ustanova u obrazovanju</t>
  </si>
  <si>
    <t>1.1.1.</t>
  </si>
  <si>
    <t>Opći izvori i primici</t>
  </si>
  <si>
    <t>4.4.1.</t>
  </si>
  <si>
    <t>5.8.1.</t>
  </si>
  <si>
    <t>Decentralizirana sredstva</t>
  </si>
  <si>
    <t>Ostale pomoći PK</t>
  </si>
  <si>
    <t>Aktivnost A120701</t>
  </si>
  <si>
    <t>Osiguravanje uvijeta rada za redovno poslovanje osnovne škole</t>
  </si>
  <si>
    <t>Kapitalni projekt K120703</t>
  </si>
  <si>
    <t>Kapitalna ulaganja u osnovne škole</t>
  </si>
  <si>
    <t>Rashodi za nabavu nefinacijske imovine</t>
  </si>
  <si>
    <t>Program 1208</t>
  </si>
  <si>
    <t>Program ustanova u obrazovanju iznad standarda</t>
  </si>
  <si>
    <t>4.3.1.</t>
  </si>
  <si>
    <t>Prihodi za posebne namjene - proračunski korisnici</t>
  </si>
  <si>
    <t>Aktivnost A120801</t>
  </si>
  <si>
    <t>Financiranje radnih materijala za učenike osnovnih škola</t>
  </si>
  <si>
    <t>Naknade građanima i kućanstvima iz proračuna</t>
  </si>
  <si>
    <t>Aktivnost A120808</t>
  </si>
  <si>
    <t>Nabava udžbenika za učenike OŠ</t>
  </si>
  <si>
    <t>Aktivnost A120810</t>
  </si>
  <si>
    <t>Ostale aktivnosti OŠ</t>
  </si>
  <si>
    <t>Aktivnost A120811</t>
  </si>
  <si>
    <t>Dodatne djelatnosti OŠ</t>
  </si>
  <si>
    <t>Aktivnost A120819</t>
  </si>
  <si>
    <t>Aktivnost A120818</t>
  </si>
  <si>
    <t>Organizacija prehrane u OŠ</t>
  </si>
  <si>
    <t>Projekt Opskrbe školskih ustanova higijenskim potrepštinama za učenice OŠ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</si>
  <si>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</si>
  <si>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</si>
  <si>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</si>
  <si>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</si>
  <si>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</si>
  <si>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</si>
  <si>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8 PRIMICI OD FINANCIJSKE IMOVINE I ZADUŽIVANJA</t>
  </si>
  <si>
    <t>5 IZDACI ZA FINANCIJSKU IMOVINU I OTPLATE ZAJMOVA</t>
  </si>
  <si>
    <t>I. OPĆI DIO</t>
  </si>
  <si>
    <t>OSTVARENJE/IZVRŠENJE 
2023.</t>
  </si>
  <si>
    <t>OSTVARENJE/IZVRŠENJE 2023.</t>
  </si>
  <si>
    <t>Prihodi poslovanja</t>
  </si>
  <si>
    <t xml:space="preserve"> RAČUN PRIHODA I RASHODA </t>
  </si>
  <si>
    <t>IZVJEŠTAJ O PRIHODIMA I RASHODIMA PREMA EKONOMSKOJ KLASIFIKACIJI</t>
  </si>
  <si>
    <t>Tekuće pomoći proračunskim korisnicima iz proračuna koji im nije nadležan</t>
  </si>
  <si>
    <t>Kapitalne pomoći proračunskim korinsicima iz proračuna koji im nije nadležan</t>
  </si>
  <si>
    <t>Prihodi od upravnih i administrativnih pristojbi, pristojbi po posebnim propisima i naknada</t>
  </si>
  <si>
    <t>Prihodi od prodaje proizvoda i robe te pruženih usluga i prihodi od donacija te povrati po protestiranim jamstvima</t>
  </si>
  <si>
    <t>Donacije od pravnih i fizičkih osoba izvan općeg proračuna i povrat donacija po protestiranim jamstvima</t>
  </si>
  <si>
    <t>Prihodi od nadležnog proračuna za financiranje redovne djelatnosti proračunskih korisnika</t>
  </si>
  <si>
    <t>Kamate na oročena sredstva i depozite po viđenju</t>
  </si>
  <si>
    <t>Ostali neposmenuti prihodi</t>
  </si>
  <si>
    <t>Plaće za posbene uvjete rada</t>
  </si>
  <si>
    <t>Naknade građanima i kućanstvima na temelju osiguranja i druge naknade</t>
  </si>
  <si>
    <t>Ostale naknade građanima i kućanstvima iz proračuna</t>
  </si>
  <si>
    <t>Ostali rashodi</t>
  </si>
  <si>
    <t>Tekuće donacije u naravi</t>
  </si>
  <si>
    <t>Rahodi za nabavu nefinancijske imovine</t>
  </si>
  <si>
    <t>UKUPNI PRIHODI</t>
  </si>
  <si>
    <t>Rashodi poslovanja</t>
  </si>
  <si>
    <t>UKUPNI RASHODI</t>
  </si>
  <si>
    <t>SAŽETAK RAČUNA FINANCIRANJA</t>
  </si>
  <si>
    <t>RAZLIKA - VIŠAK/MANJAK</t>
  </si>
  <si>
    <t xml:space="preserve">OSTVARENJE/IZVRŠENJE 2023. </t>
  </si>
  <si>
    <t xml:space="preserve">   52 Ostale pomoći - prenesena sredstva</t>
  </si>
  <si>
    <r>
      <rPr>
        <b/>
        <i/>
        <sz val="10"/>
        <rFont val="Arial"/>
        <family val="2"/>
        <charset val="238"/>
      </rPr>
      <t>091</t>
    </r>
    <r>
      <rPr>
        <i/>
        <sz val="10"/>
        <rFont val="Arial"/>
        <family val="2"/>
        <charset val="238"/>
      </rPr>
      <t xml:space="preserve"> Predskolško i osnovno obrazovanje</t>
    </r>
  </si>
  <si>
    <t xml:space="preserve">IZVRŠENJE 
2023. </t>
  </si>
  <si>
    <t xml:space="preserve"> RAČUN FINANCIRANJA</t>
  </si>
  <si>
    <t xml:space="preserve">IZVJEŠTAJ RAČUNA FINANCIRANJA PREMA EKONOMSKOJ KLASIFIKACIJI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</si>
  <si>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</si>
  <si>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</si>
  <si>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</si>
  <si>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</si>
  <si>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</si>
  <si>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</si>
  <si>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</si>
  <si>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</si>
  <si>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</si>
  <si>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</si>
  <si>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>UKUPNI IZDACI</t>
  </si>
  <si>
    <t>RAZLIKA PRIMITAKA I IZDATAKA</t>
  </si>
  <si>
    <t>PRENESENI VIŠAK/MANJAK IZ PRETHODNE GODINE</t>
  </si>
  <si>
    <t>PRIJENOS VIŠKA/MANJKA U SLJEDEĆE RAZDOBLJE</t>
  </si>
  <si>
    <t xml:space="preserve">SAŽETAK  RAČUNA PRIHODA I RASHODA </t>
  </si>
  <si>
    <t>Rezultat poslovanja</t>
  </si>
  <si>
    <t>Vlastiti izvori</t>
  </si>
  <si>
    <t>Višak/manjak prihoda</t>
  </si>
  <si>
    <t>UKUPNO PRIHODI+VIŠAK KORIŠTEN ZA POKRIĆE RASHODA</t>
  </si>
  <si>
    <t>Korisnik</t>
  </si>
  <si>
    <t>Plaće za posebne uvjete rada</t>
  </si>
  <si>
    <t>Ostali rashodi za zaposlene</t>
  </si>
  <si>
    <t>Doprisnosi za obvezno zdravstveno osiguranje</t>
  </si>
  <si>
    <t>Namirnice</t>
  </si>
  <si>
    <t xml:space="preserve">REZULTAT GODINE:UKUPNI RASHODI+POKRIVENI MANJAK </t>
  </si>
  <si>
    <t>OSTVARENJE/IZVRŠENJE 
2024.</t>
  </si>
  <si>
    <t>REBALANS 2024.</t>
  </si>
  <si>
    <t>OSTVARENJE/IZVRŠENJE 2024.</t>
  </si>
  <si>
    <t xml:space="preserve">REBALANS 2024. </t>
  </si>
  <si>
    <t xml:space="preserve">OSTVARENJE/IZVRŠENJE 
2023. </t>
  </si>
  <si>
    <t xml:space="preserve">IZVRŠENJE 
2024. </t>
  </si>
  <si>
    <t xml:space="preserve"> IZVRŠENJE 
2024. </t>
  </si>
  <si>
    <t>Manjak prihoda</t>
  </si>
  <si>
    <t>5.8.2.</t>
  </si>
  <si>
    <t>Ostale pomoći PK - prenesena sredstva</t>
  </si>
  <si>
    <t>Naknade za prijevoz, rad na terenu i odvojeni život</t>
  </si>
  <si>
    <t>Uredska oprema i namještaj</t>
  </si>
  <si>
    <t>REZULTAT TEKUĆE GODINE</t>
  </si>
  <si>
    <t>REZULTAT GODINE</t>
  </si>
  <si>
    <t>-</t>
  </si>
  <si>
    <t xml:space="preserve">   4.3.1. Prihodi za posebne namjene</t>
  </si>
  <si>
    <t>4.4.1. Decentralizirana sredstva</t>
  </si>
  <si>
    <t>3.2.1. Vlastiti prihodi PK</t>
  </si>
  <si>
    <t>1.1.1. Opći prihodi i primici</t>
  </si>
  <si>
    <t>3.2.1. Vlastiti prihodi</t>
  </si>
  <si>
    <t>Prihodi od pruženih usluga</t>
  </si>
  <si>
    <t>Kazne i upravne mjere i ostali prihodi</t>
  </si>
  <si>
    <t>Ostali prihodi</t>
  </si>
  <si>
    <t>Pomoći od izvanproračunskih korisnika</t>
  </si>
  <si>
    <t>Tekuće pomoći od izvanpraorčaunskih korisnika</t>
  </si>
  <si>
    <t>Naknade troškova osobama izvan radnog odnosa</t>
  </si>
  <si>
    <t>Premije osiguranja</t>
  </si>
  <si>
    <t>Reprezentacija</t>
  </si>
  <si>
    <t>Zatezne kamate</t>
  </si>
  <si>
    <t xml:space="preserve">   5.6.1. Fondovi EU</t>
  </si>
  <si>
    <t xml:space="preserve">5.8.1. Ostale pomoći PK </t>
  </si>
  <si>
    <t>5.2.1. Ostale pomoći</t>
  </si>
  <si>
    <t>098 Usluge obrazovanja koje nisu drugdje svrstane</t>
  </si>
  <si>
    <t>Program 1206</t>
  </si>
  <si>
    <t>EU projekti UO za obrazovanje, kulturu i sport</t>
  </si>
  <si>
    <t>5.6.1.</t>
  </si>
  <si>
    <t>Opći prihodi i primici</t>
  </si>
  <si>
    <t>Fondovi EU</t>
  </si>
  <si>
    <t xml:space="preserve">Tekući projekt T120602 </t>
  </si>
  <si>
    <t>Zajedno možemo sve! - osiguranje pomoćnika u nastavi za učenike s teškoćama</t>
  </si>
  <si>
    <t>Naknade za prijevoz, za rad na terenu i za odvojeni život</t>
  </si>
  <si>
    <t>5.2.1.</t>
  </si>
  <si>
    <t>Ostale pomoći</t>
  </si>
  <si>
    <t>Tekući projekt T120608</t>
  </si>
  <si>
    <t>Školska shema</t>
  </si>
  <si>
    <t>3.2.1.</t>
  </si>
  <si>
    <t>Vlastiti prihod - prorčaunski korisnici</t>
  </si>
  <si>
    <t>4.3.2.</t>
  </si>
  <si>
    <t>Prihodi za posebne namjene PK - prenesena sredstva</t>
  </si>
  <si>
    <t>Obvezni i preventivnih zdravstveni pregledi zaposlenika</t>
  </si>
  <si>
    <t>Aktivnost A120809</t>
  </si>
  <si>
    <t>Programi školskog kurikuluma</t>
  </si>
  <si>
    <t>Usluge promidžbe i informiranja</t>
  </si>
  <si>
    <t>Zdravstvene i veterinarske usluge</t>
  </si>
  <si>
    <t>Ostali nespomenuti financijski rashodi</t>
  </si>
  <si>
    <t>Tekući projekt T120802</t>
  </si>
  <si>
    <t>Financiranje produženog boravka u osnovnim školama</t>
  </si>
  <si>
    <t>Ostale pomoći proračunski korisnici</t>
  </si>
  <si>
    <t>K006</t>
  </si>
  <si>
    <t>Osnovna škola Slano</t>
  </si>
  <si>
    <t>Glava: 10202</t>
  </si>
  <si>
    <t xml:space="preserve">Usluge telefona, pošte i prijevoza </t>
  </si>
  <si>
    <t>Ostale pomoći proračunski korisnici - prenesena sredstva</t>
  </si>
  <si>
    <t>Ostale pomoći proračunskim korisnicima - prenesena sredstva</t>
  </si>
  <si>
    <t>4.4.2.</t>
  </si>
  <si>
    <t>Decentralizirana prenesena sredstva</t>
  </si>
  <si>
    <t xml:space="preserve">  4.3.2. Prihod za posebne namjene - prenesena sredstva </t>
  </si>
  <si>
    <t>Plaće (bruto)</t>
  </si>
  <si>
    <t>Knjige, umjetnička djela i ostale izložbene vrijednosti</t>
  </si>
  <si>
    <t>Aktivnost A120804</t>
  </si>
  <si>
    <t>Financiranje školskih projekata</t>
  </si>
  <si>
    <t>GODIŠNJI IZVJEŠTAJ O IZVRŠENJU FINANCIJSKOG PLANA PRORAČUNSKOG KORISNIKA JEDINICE LOKALNE I PODRUČNE (REGIONALNE) SAMOUPRAVE 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</si>
</sst>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"/>
    <numFmt numFmtId="165" formatCode="#,##0.00\ _k_n"/>
    <numFmt numFmtId="166" formatCode="#,##0.00000\ _k_n"/>
    <numFmt numFmtId="167" formatCode="_-* #,##0.00\ _k_n_-;\-* #,##0.00\ _k_n_-;_-* &quot;-&quot;??\ _k_n_-;_-@_-"/>
    <numFmt numFmtId="168" formatCode="#,##0\ _k_n"/>
    <numFmt numFmtId="169" formatCode="#,##0.00\ _k_n;\-#,##0.00\ _k_n"/>
  </numFmts>
  <fonts count="35">
    <font>
      <sz val="10"/>
      <name val="Arial"/>
    </font>
    <font>
      <sz val="10"/>
      <name val="Arial"/>
      <family val="2"/>
      <charset val="238"/>
    </font>
    <font>
      <b/>
      <i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6"/>
      <color indexed="8"/>
      <name val="Times New Roman"/>
      <family val="1"/>
    </font>
    <font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MS Sans Serif"/>
      <charset val="238"/>
    </font>
    <font>
      <b/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el"/>
      <charset val="238"/>
    </font>
    <font>
      <b/>
      <sz val="10"/>
      <name val="Ariel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4" fillId="0" borderId="0"/>
    <xf numFmtId="0" fontId="10" fillId="0" borderId="0"/>
  </cellStyleXfs>
  <cellXfs count="311">
    <xf numFmtId="0" fontId="0" fillId="0" borderId="0" xfId="0"/>
    <xf numFmtId="3" fontId="4" fillId="0" borderId="0" xfId="0" applyNumberFormat="1" applyFont="1"/>
    <xf numFmtId="49" fontId="5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/>
    <xf numFmtId="3" fontId="9" fillId="0" borderId="0" xfId="0" applyNumberFormat="1" applyFont="1"/>
    <xf numFmtId="3" fontId="11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3" fontId="17" fillId="4" borderId="1" xfId="0" applyNumberFormat="1" applyFont="1" applyFill="1" applyBorder="1" applyAlignment="1">
      <alignment horizontal="right"/>
    </xf>
    <xf numFmtId="0" fontId="21" fillId="4" borderId="1" xfId="0" quotePrefix="1" applyFont="1" applyFill="1" applyBorder="1" applyAlignment="1">
      <alignment horizontal="left" vertical="center" wrapText="1" indent="1"/>
    </xf>
    <xf numFmtId="0" fontId="21" fillId="4" borderId="1" xfId="0" applyFont="1" applyFill="1" applyBorder="1" applyAlignment="1">
      <alignment horizontal="left" vertical="center" wrapText="1" indent="1"/>
    </xf>
    <xf numFmtId="2" fontId="0" fillId="0" borderId="0" xfId="0" applyNumberFormat="1"/>
    <xf numFmtId="0" fontId="22" fillId="4" borderId="1" xfId="0" applyFont="1" applyFill="1" applyBorder="1" applyAlignment="1">
      <alignment vertical="top" wrapText="1"/>
    </xf>
    <xf numFmtId="0" fontId="21" fillId="4" borderId="1" xfId="0" quotePrefix="1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0" fontId="29" fillId="0" borderId="0" xfId="0" applyFont="1"/>
    <xf numFmtId="0" fontId="17" fillId="4" borderId="2" xfId="0" applyFont="1" applyFill="1" applyBorder="1" applyAlignment="1">
      <alignment horizontal="left" vertical="center" wrapText="1"/>
    </xf>
    <xf numFmtId="3" fontId="17" fillId="4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/>
    </xf>
    <xf numFmtId="14" fontId="17" fillId="4" borderId="3" xfId="0" applyNumberFormat="1" applyFont="1" applyFill="1" applyBorder="1" applyAlignment="1">
      <alignment horizontal="left" vertical="center" wrapText="1"/>
    </xf>
    <xf numFmtId="4" fontId="17" fillId="4" borderId="1" xfId="0" applyNumberFormat="1" applyFont="1" applyFill="1" applyBorder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164" fontId="4" fillId="0" borderId="0" xfId="0" applyNumberFormat="1" applyFont="1"/>
    <xf numFmtId="165" fontId="4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166" fontId="12" fillId="0" borderId="0" xfId="0" applyNumberFormat="1" applyFont="1"/>
    <xf numFmtId="165" fontId="12" fillId="0" borderId="0" xfId="0" applyNumberFormat="1" applyFont="1"/>
    <xf numFmtId="0" fontId="23" fillId="0" borderId="1" xfId="0" quotePrefix="1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6" fillId="0" borderId="0" xfId="1" quotePrefix="1" applyFont="1" applyAlignment="1">
      <alignment horizontal="left" wrapText="1"/>
    </xf>
    <xf numFmtId="0" fontId="26" fillId="0" borderId="0" xfId="1" applyFont="1" applyAlignment="1">
      <alignment wrapText="1"/>
    </xf>
    <xf numFmtId="0" fontId="26" fillId="0" borderId="0" xfId="1" applyFont="1"/>
    <xf numFmtId="0" fontId="23" fillId="0" borderId="4" xfId="0" quotePrefix="1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19" fillId="4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4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31" fillId="0" borderId="0" xfId="0" applyFont="1"/>
    <xf numFmtId="1" fontId="20" fillId="0" borderId="1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center" vertical="center"/>
    </xf>
    <xf numFmtId="165" fontId="19" fillId="3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/>
    <xf numFmtId="0" fontId="20" fillId="0" borderId="2" xfId="0" quotePrefix="1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left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quotePrefix="1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0" fillId="0" borderId="7" xfId="0" quotePrefix="1" applyFont="1" applyBorder="1" applyAlignment="1">
      <alignment horizontal="center" vertical="center" wrapText="1"/>
    </xf>
    <xf numFmtId="0" fontId="20" fillId="0" borderId="6" xfId="0" quotePrefix="1" applyFont="1" applyBorder="1" applyAlignment="1">
      <alignment horizontal="center" vertical="center" wrapText="1"/>
    </xf>
    <xf numFmtId="0" fontId="20" fillId="0" borderId="6" xfId="0" quotePrefix="1" applyFont="1" applyBorder="1" applyAlignment="1">
      <alignment horizontal="left"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Border="1"/>
    <xf numFmtId="3" fontId="20" fillId="0" borderId="1" xfId="0" applyNumberFormat="1" applyFont="1" applyBorder="1" applyAlignment="1">
      <alignment horizontal="left" vertical="center" wrapText="1"/>
    </xf>
    <xf numFmtId="3" fontId="1" fillId="0" borderId="2" xfId="0" applyNumberFormat="1" applyFont="1" applyBorder="1"/>
    <xf numFmtId="3" fontId="1" fillId="0" borderId="1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3" fontId="1" fillId="4" borderId="1" xfId="0" applyNumberFormat="1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0" fontId="22" fillId="0" borderId="1" xfId="0" applyFont="1" applyBorder="1" applyAlignment="1">
      <alignment horizontal="left" vertical="center"/>
    </xf>
    <xf numFmtId="3" fontId="21" fillId="0" borderId="1" xfId="0" applyNumberFormat="1" applyFont="1" applyBorder="1"/>
    <xf numFmtId="0" fontId="18" fillId="0" borderId="0" xfId="0" applyFont="1" applyAlignment="1">
      <alignment vertical="center" wrapText="1"/>
    </xf>
    <xf numFmtId="0" fontId="18" fillId="0" borderId="0" xfId="1" applyFont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65" fontId="20" fillId="2" borderId="1" xfId="0" quotePrefix="1" applyNumberFormat="1" applyFont="1" applyFill="1" applyBorder="1" applyAlignment="1">
      <alignment horizontal="center" vertical="center" wrapText="1"/>
    </xf>
    <xf numFmtId="165" fontId="20" fillId="2" borderId="6" xfId="0" quotePrefix="1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right"/>
    </xf>
    <xf numFmtId="0" fontId="21" fillId="0" borderId="1" xfId="0" applyFont="1" applyBorder="1"/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quotePrefix="1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3" fontId="4" fillId="3" borderId="1" xfId="0" applyNumberFormat="1" applyFont="1" applyFill="1" applyBorder="1"/>
    <xf numFmtId="0" fontId="8" fillId="3" borderId="6" xfId="0" applyFont="1" applyFill="1" applyBorder="1" applyAlignment="1">
      <alignment horizontal="center" vertical="center" wrapText="1"/>
    </xf>
    <xf numFmtId="3" fontId="8" fillId="3" borderId="6" xfId="0" quotePrefix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1" fontId="19" fillId="4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quotePrefix="1" applyFont="1" applyFill="1" applyBorder="1" applyAlignment="1">
      <alignment horizontal="left" vertical="center"/>
    </xf>
    <xf numFmtId="0" fontId="1" fillId="4" borderId="1" xfId="0" quotePrefix="1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65" fontId="0" fillId="0" borderId="1" xfId="0" applyNumberFormat="1" applyBorder="1"/>
    <xf numFmtId="0" fontId="21" fillId="4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vertical="top" wrapText="1"/>
    </xf>
    <xf numFmtId="0" fontId="22" fillId="4" borderId="1" xfId="0" applyFont="1" applyFill="1" applyBorder="1" applyAlignment="1">
      <alignment vertical="center"/>
    </xf>
    <xf numFmtId="0" fontId="31" fillId="4" borderId="0" xfId="0" applyFont="1" applyFill="1"/>
    <xf numFmtId="1" fontId="20" fillId="3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3" fontId="3" fillId="0" borderId="11" xfId="0" applyNumberFormat="1" applyFont="1" applyBorder="1"/>
    <xf numFmtId="3" fontId="4" fillId="3" borderId="6" xfId="0" applyNumberFormat="1" applyFont="1" applyFill="1" applyBorder="1"/>
    <xf numFmtId="0" fontId="20" fillId="3" borderId="6" xfId="0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4" fontId="0" fillId="0" borderId="0" xfId="0" applyNumberFormat="1"/>
    <xf numFmtId="165" fontId="17" fillId="4" borderId="1" xfId="0" applyNumberFormat="1" applyFont="1" applyFill="1" applyBorder="1" applyAlignment="1">
      <alignment horizontal="left" vertical="center"/>
    </xf>
    <xf numFmtId="1" fontId="19" fillId="4" borderId="5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/>
    </xf>
    <xf numFmtId="3" fontId="17" fillId="4" borderId="6" xfId="0" applyNumberFormat="1" applyFont="1" applyFill="1" applyBorder="1" applyAlignment="1">
      <alignment horizontal="left" vertical="center"/>
    </xf>
    <xf numFmtId="4" fontId="17" fillId="4" borderId="6" xfId="0" applyNumberFormat="1" applyFont="1" applyFill="1" applyBorder="1" applyAlignment="1">
      <alignment horizontal="left" vertical="center"/>
    </xf>
    <xf numFmtId="0" fontId="17" fillId="4" borderId="3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vertical="center" wrapText="1"/>
    </xf>
    <xf numFmtId="0" fontId="19" fillId="3" borderId="1" xfId="0" quotePrefix="1" applyFont="1" applyFill="1" applyBorder="1" applyAlignment="1">
      <alignment horizontal="center" vertical="center" wrapText="1"/>
    </xf>
    <xf numFmtId="167" fontId="0" fillId="0" borderId="1" xfId="0" applyNumberFormat="1" applyBorder="1"/>
    <xf numFmtId="168" fontId="19" fillId="4" borderId="1" xfId="0" applyNumberFormat="1" applyFont="1" applyFill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/>
    </xf>
    <xf numFmtId="168" fontId="19" fillId="0" borderId="1" xfId="0" applyNumberFormat="1" applyFont="1" applyBorder="1" applyAlignment="1">
      <alignment horizontal="center"/>
    </xf>
    <xf numFmtId="168" fontId="20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/>
    <xf numFmtId="165" fontId="1" fillId="2" borderId="1" xfId="0" applyNumberFormat="1" applyFont="1" applyFill="1" applyBorder="1" applyAlignment="1">
      <alignment vertical="center"/>
    </xf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5" fontId="17" fillId="4" borderId="1" xfId="0" applyNumberFormat="1" applyFont="1" applyFill="1" applyBorder="1" applyAlignment="1">
      <alignment horizontal="center"/>
    </xf>
    <xf numFmtId="165" fontId="17" fillId="4" borderId="1" xfId="0" applyNumberFormat="1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19" fillId="4" borderId="1" xfId="0" applyNumberFormat="1" applyFont="1" applyFill="1" applyBorder="1" applyAlignment="1">
      <alignment horizontal="center"/>
    </xf>
    <xf numFmtId="165" fontId="19" fillId="4" borderId="1" xfId="0" applyNumberFormat="1" applyFont="1" applyFill="1" applyBorder="1" applyAlignment="1">
      <alignment horizontal="center" wrapText="1"/>
    </xf>
    <xf numFmtId="169" fontId="17" fillId="0" borderId="1" xfId="0" applyNumberFormat="1" applyFont="1" applyBorder="1" applyAlignment="1">
      <alignment horizontal="center" vertical="center"/>
    </xf>
    <xf numFmtId="169" fontId="19" fillId="3" borderId="1" xfId="0" applyNumberFormat="1" applyFont="1" applyFill="1" applyBorder="1" applyAlignment="1">
      <alignment horizontal="center" vertical="center"/>
    </xf>
    <xf numFmtId="169" fontId="19" fillId="3" borderId="1" xfId="0" applyNumberFormat="1" applyFont="1" applyFill="1" applyBorder="1" applyAlignment="1">
      <alignment horizontal="center" vertical="center" wrapText="1"/>
    </xf>
    <xf numFmtId="169" fontId="19" fillId="0" borderId="1" xfId="0" quotePrefix="1" applyNumberFormat="1" applyFont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169" fontId="20" fillId="0" borderId="1" xfId="0" applyNumberFormat="1" applyFont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 wrapText="1"/>
    </xf>
    <xf numFmtId="169" fontId="20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/>
    </xf>
    <xf numFmtId="0" fontId="1" fillId="0" borderId="2" xfId="0" quotePrefix="1" applyFont="1" applyBorder="1" applyAlignment="1">
      <alignment horizontal="left" vertical="center" wrapText="1"/>
    </xf>
    <xf numFmtId="0" fontId="21" fillId="4" borderId="1" xfId="0" applyFont="1" applyFill="1" applyBorder="1" applyAlignment="1">
      <alignment vertical="top" wrapText="1"/>
    </xf>
    <xf numFmtId="3" fontId="17" fillId="4" borderId="5" xfId="0" applyNumberFormat="1" applyFont="1" applyFill="1" applyBorder="1" applyAlignment="1">
      <alignment horizontal="left" vertical="center"/>
    </xf>
    <xf numFmtId="165" fontId="17" fillId="4" borderId="5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4" fontId="17" fillId="4" borderId="4" xfId="0" applyNumberFormat="1" applyFont="1" applyFill="1" applyBorder="1" applyAlignment="1">
      <alignment horizontal="left" vertical="center" wrapText="1"/>
    </xf>
    <xf numFmtId="14" fontId="17" fillId="4" borderId="2" xfId="0" applyNumberFormat="1" applyFont="1" applyFill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/>
    <xf numFmtId="165" fontId="0" fillId="0" borderId="1" xfId="0" applyNumberFormat="1" applyBorder="1" applyAlignment="1">
      <alignment horizontal="left" vertical="center"/>
    </xf>
    <xf numFmtId="168" fontId="0" fillId="0" borderId="1" xfId="0" applyNumberFormat="1" applyBorder="1" applyAlignment="1">
      <alignment horizontal="left" vertical="center"/>
    </xf>
    <xf numFmtId="1" fontId="19" fillId="4" borderId="6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left" vertical="center" wrapText="1"/>
    </xf>
    <xf numFmtId="0" fontId="17" fillId="4" borderId="12" xfId="0" applyFont="1" applyFill="1" applyBorder="1" applyAlignment="1">
      <alignment horizontal="left" vertical="center" wrapText="1"/>
    </xf>
    <xf numFmtId="4" fontId="17" fillId="4" borderId="5" xfId="0" applyNumberFormat="1" applyFont="1" applyFill="1" applyBorder="1" applyAlignment="1">
      <alignment horizontal="left" vertical="center"/>
    </xf>
    <xf numFmtId="0" fontId="19" fillId="4" borderId="17" xfId="0" applyFont="1" applyFill="1" applyBorder="1" applyAlignment="1">
      <alignment horizontal="left" vertical="center" wrapText="1"/>
    </xf>
    <xf numFmtId="4" fontId="19" fillId="4" borderId="18" xfId="0" applyNumberFormat="1" applyFont="1" applyFill="1" applyBorder="1" applyAlignment="1">
      <alignment horizontal="left" vertical="center"/>
    </xf>
    <xf numFmtId="1" fontId="19" fillId="4" borderId="19" xfId="0" applyNumberFormat="1" applyFont="1" applyFill="1" applyBorder="1" applyAlignment="1">
      <alignment horizontal="center" vertical="center"/>
    </xf>
    <xf numFmtId="14" fontId="17" fillId="4" borderId="8" xfId="0" applyNumberFormat="1" applyFont="1" applyFill="1" applyBorder="1" applyAlignment="1">
      <alignment horizontal="left" vertical="center" wrapText="1"/>
    </xf>
    <xf numFmtId="165" fontId="17" fillId="4" borderId="6" xfId="0" applyNumberFormat="1" applyFont="1" applyFill="1" applyBorder="1" applyAlignment="1">
      <alignment horizontal="left" vertical="center"/>
    </xf>
    <xf numFmtId="14" fontId="17" fillId="4" borderId="10" xfId="0" applyNumberFormat="1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3" fontId="19" fillId="4" borderId="18" xfId="0" applyNumberFormat="1" applyFont="1" applyFill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165" fontId="19" fillId="4" borderId="18" xfId="0" applyNumberFormat="1" applyFont="1" applyFill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5" fontId="0" fillId="0" borderId="10" xfId="0" applyNumberFormat="1" applyBorder="1" applyAlignment="1">
      <alignment horizontal="left" vertical="center"/>
    </xf>
    <xf numFmtId="1" fontId="19" fillId="0" borderId="5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165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17" fillId="0" borderId="1" xfId="0" applyNumberFormat="1" applyFont="1" applyBorder="1" applyAlignment="1">
      <alignment horizontal="left" vertical="center"/>
    </xf>
    <xf numFmtId="165" fontId="17" fillId="0" borderId="1" xfId="0" applyNumberFormat="1" applyFont="1" applyBorder="1" applyAlignment="1">
      <alignment horizontal="left" vertical="center"/>
    </xf>
    <xf numFmtId="14" fontId="17" fillId="0" borderId="3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165" fontId="19" fillId="0" borderId="1" xfId="0" applyNumberFormat="1" applyFont="1" applyBorder="1" applyAlignment="1">
      <alignment horizontal="center" wrapText="1"/>
    </xf>
    <xf numFmtId="165" fontId="20" fillId="0" borderId="1" xfId="0" applyNumberFormat="1" applyFont="1" applyBorder="1" applyAlignment="1">
      <alignment horizontal="center"/>
    </xf>
    <xf numFmtId="0" fontId="17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9" fillId="3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vertical="center"/>
    </xf>
    <xf numFmtId="165" fontId="19" fillId="4" borderId="1" xfId="0" applyNumberFormat="1" applyFont="1" applyFill="1" applyBorder="1" applyAlignment="1">
      <alignment horizontal="right"/>
    </xf>
    <xf numFmtId="167" fontId="20" fillId="0" borderId="1" xfId="0" applyNumberFormat="1" applyFont="1" applyBorder="1"/>
    <xf numFmtId="3" fontId="19" fillId="4" borderId="1" xfId="0" applyNumberFormat="1" applyFont="1" applyFill="1" applyBorder="1" applyAlignment="1">
      <alignment horizontal="right"/>
    </xf>
    <xf numFmtId="165" fontId="20" fillId="0" borderId="1" xfId="0" applyNumberFormat="1" applyFont="1" applyBorder="1"/>
    <xf numFmtId="4" fontId="17" fillId="0" borderId="1" xfId="0" applyNumberFormat="1" applyFont="1" applyBorder="1" applyAlignment="1">
      <alignment horizontal="left" vertical="center"/>
    </xf>
    <xf numFmtId="0" fontId="20" fillId="3" borderId="3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 wrapText="1"/>
    </xf>
    <xf numFmtId="0" fontId="19" fillId="3" borderId="3" xfId="0" quotePrefix="1" applyFont="1" applyFill="1" applyBorder="1" applyAlignment="1">
      <alignment horizontal="center" wrapText="1"/>
    </xf>
    <xf numFmtId="0" fontId="19" fillId="3" borderId="4" xfId="0" quotePrefix="1" applyFont="1" applyFill="1" applyBorder="1" applyAlignment="1">
      <alignment horizontal="center" wrapText="1"/>
    </xf>
    <xf numFmtId="0" fontId="19" fillId="3" borderId="2" xfId="0" quotePrefix="1" applyFont="1" applyFill="1" applyBorder="1" applyAlignment="1">
      <alignment horizontal="center" wrapText="1"/>
    </xf>
    <xf numFmtId="0" fontId="19" fillId="3" borderId="1" xfId="0" quotePrefix="1" applyFont="1" applyFill="1" applyBorder="1" applyAlignment="1">
      <alignment horizontal="center" wrapText="1"/>
    </xf>
    <xf numFmtId="0" fontId="23" fillId="0" borderId="1" xfId="0" quotePrefix="1" applyFont="1" applyBorder="1" applyAlignment="1">
      <alignment horizontal="center" wrapText="1"/>
    </xf>
    <xf numFmtId="0" fontId="23" fillId="0" borderId="3" xfId="0" quotePrefix="1" applyFont="1" applyBorder="1" applyAlignment="1">
      <alignment horizont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8" fillId="0" borderId="0" xfId="1" applyFont="1" applyAlignment="1">
      <alignment horizontal="center" vertical="center" wrapText="1"/>
    </xf>
    <xf numFmtId="0" fontId="18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wrapText="1"/>
    </xf>
    <xf numFmtId="0" fontId="19" fillId="0" borderId="3" xfId="0" quotePrefix="1" applyFont="1" applyBorder="1" applyAlignment="1">
      <alignment horizontal="left" wrapText="1"/>
    </xf>
    <xf numFmtId="0" fontId="19" fillId="0" borderId="4" xfId="0" quotePrefix="1" applyFont="1" applyBorder="1" applyAlignment="1">
      <alignment horizontal="left" wrapText="1"/>
    </xf>
    <xf numFmtId="0" fontId="20" fillId="0" borderId="3" xfId="0" quotePrefix="1" applyFont="1" applyBorder="1" applyAlignment="1">
      <alignment horizontal="left" vertical="center"/>
    </xf>
    <xf numFmtId="0" fontId="20" fillId="0" borderId="4" xfId="0" quotePrefix="1" applyFont="1" applyBorder="1" applyAlignment="1">
      <alignment horizontal="left" vertical="center"/>
    </xf>
    <xf numFmtId="0" fontId="20" fillId="0" borderId="3" xfId="0" quotePrefix="1" applyFont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8" fillId="3" borderId="6" xfId="0" quotePrefix="1" applyFont="1" applyFill="1" applyBorder="1" applyAlignment="1">
      <alignment horizontal="center" vertical="center" wrapText="1"/>
    </xf>
    <xf numFmtId="0" fontId="28" fillId="3" borderId="8" xfId="0" quotePrefix="1" applyFont="1" applyFill="1" applyBorder="1" applyAlignment="1">
      <alignment horizontal="center" vertical="center" wrapText="1"/>
    </xf>
    <xf numFmtId="0" fontId="28" fillId="3" borderId="9" xfId="0" quotePrefix="1" applyFont="1" applyFill="1" applyBorder="1" applyAlignment="1">
      <alignment horizontal="center" vertical="center" wrapText="1"/>
    </xf>
    <xf numFmtId="0" fontId="28" fillId="3" borderId="7" xfId="0" quotePrefix="1" applyFont="1" applyFill="1" applyBorder="1" applyAlignment="1">
      <alignment horizontal="center" vertical="center" wrapText="1"/>
    </xf>
    <xf numFmtId="0" fontId="28" fillId="3" borderId="10" xfId="0" quotePrefix="1" applyFont="1" applyFill="1" applyBorder="1" applyAlignment="1">
      <alignment horizontal="center" vertical="center" wrapText="1"/>
    </xf>
    <xf numFmtId="0" fontId="28" fillId="3" borderId="11" xfId="0" quotePrefix="1" applyFont="1" applyFill="1" applyBorder="1" applyAlignment="1">
      <alignment horizontal="center" vertical="center" wrapText="1"/>
    </xf>
    <xf numFmtId="0" fontId="28" fillId="3" borderId="12" xfId="0" quotePrefix="1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8" fillId="3" borderId="7" xfId="0" quotePrefix="1" applyFont="1" applyFill="1" applyBorder="1" applyAlignment="1">
      <alignment horizontal="center" vertical="center" wrapText="1"/>
    </xf>
    <xf numFmtId="3" fontId="20" fillId="3" borderId="6" xfId="0" applyNumberFormat="1" applyFont="1" applyFill="1" applyBorder="1" applyAlignment="1">
      <alignment horizontal="center" vertical="center" wrapText="1"/>
    </xf>
    <xf numFmtId="3" fontId="20" fillId="3" borderId="5" xfId="0" quotePrefix="1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8" fillId="3" borderId="13" xfId="0" quotePrefix="1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8" fillId="3" borderId="4" xfId="0" quotePrefix="1" applyFont="1" applyFill="1" applyBorder="1" applyAlignment="1">
      <alignment horizontal="center" vertical="center" wrapText="1"/>
    </xf>
    <xf numFmtId="0" fontId="8" fillId="3" borderId="2" xfId="0" quotePrefix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17" fillId="4" borderId="12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14" fontId="19" fillId="4" borderId="20" xfId="0" applyNumberFormat="1" applyFont="1" applyFill="1" applyBorder="1" applyAlignment="1">
      <alignment horizontal="left" vertical="center" wrapText="1"/>
    </xf>
    <xf numFmtId="14" fontId="19" fillId="4" borderId="18" xfId="0" applyNumberFormat="1" applyFont="1" applyFill="1" applyBorder="1" applyAlignment="1">
      <alignment horizontal="left" vertical="center" wrapText="1"/>
    </xf>
    <xf numFmtId="14" fontId="17" fillId="4" borderId="3" xfId="0" applyNumberFormat="1" applyFont="1" applyFill="1" applyBorder="1" applyAlignment="1">
      <alignment horizontal="left" vertical="center" wrapText="1"/>
    </xf>
    <xf numFmtId="14" fontId="17" fillId="4" borderId="4" xfId="0" applyNumberFormat="1" applyFont="1" applyFill="1" applyBorder="1" applyAlignment="1">
      <alignment horizontal="left" vertical="center" wrapText="1"/>
    </xf>
    <xf numFmtId="14" fontId="17" fillId="4" borderId="2" xfId="0" applyNumberFormat="1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</cellXfs>
  <cellStyles count="3">
    <cellStyle name="Normal 2" xfId="1" xr:uid="{00000000-0005-0000-0000-000001000000}"/>
    <cellStyle name="Normalno" xfId="0" builtinId="0"/>
    <cellStyle name="Normalno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44"/>
  <sheetViews>
    <sheetView tabSelected="1" zoomScaleNormal="100" workbookViewId="0">
      <selection activeCell="A2" sqref="A2"/>
    </sheetView>
  </sheetViews>
  <sheetFormatPr defaultRowHeight="12.75"/>
  <cols>
    <col min="6" max="6" width="34.5703125" customWidth="1"/>
    <col min="7" max="7" width="24.140625" customWidth="1"/>
    <col min="8" max="8" width="24.5703125" customWidth="1"/>
    <col min="9" max="9" width="24.42578125" customWidth="1"/>
    <col min="10" max="10" width="12.28515625" customWidth="1"/>
    <col min="11" max="11" width="12" customWidth="1"/>
  </cols>
  <sheetData>
    <row r="1" spans="2:11" ht="18.75" customHeight="1">
      <c r="B1" s="251" t="s">
        <v>247</v>
      </c>
      <c r="C1" s="251"/>
      <c r="D1" s="251"/>
      <c r="E1" s="251"/>
      <c r="F1" s="251"/>
      <c r="G1" s="251"/>
      <c r="H1" s="251"/>
      <c r="I1" s="251"/>
      <c r="J1" s="251"/>
      <c r="K1" s="251"/>
    </row>
    <row r="2" spans="2:11" ht="36.75" customHeight="1"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2:11" ht="18.75" customHeight="1">
      <c r="B3" s="251" t="s">
        <v>120</v>
      </c>
      <c r="C3" s="251"/>
      <c r="D3" s="251"/>
      <c r="E3" s="251"/>
      <c r="F3" s="251"/>
      <c r="G3" s="251"/>
      <c r="H3" s="251"/>
      <c r="I3" s="251"/>
      <c r="J3" s="251"/>
      <c r="K3" s="251"/>
    </row>
    <row r="4" spans="2:11" ht="18.75" customHeight="1"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2:11" ht="18.75" customHeight="1"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2:11" ht="15.75" customHeight="1">
      <c r="B6" s="252" t="s">
        <v>165</v>
      </c>
      <c r="C6" s="252"/>
      <c r="D6" s="252"/>
      <c r="E6" s="252"/>
      <c r="F6" s="252"/>
      <c r="G6" s="252"/>
      <c r="H6" s="252"/>
      <c r="I6" s="252"/>
      <c r="J6" s="252"/>
      <c r="K6" s="252"/>
    </row>
    <row r="7" spans="2:11" ht="38.25">
      <c r="B7" s="240" t="s">
        <v>61</v>
      </c>
      <c r="C7" s="240"/>
      <c r="D7" s="240"/>
      <c r="E7" s="240"/>
      <c r="F7" s="240"/>
      <c r="G7" s="148" t="s">
        <v>121</v>
      </c>
      <c r="H7" s="148" t="s">
        <v>177</v>
      </c>
      <c r="I7" s="148" t="s">
        <v>176</v>
      </c>
      <c r="J7" s="15" t="s">
        <v>62</v>
      </c>
      <c r="K7" s="15" t="s">
        <v>62</v>
      </c>
    </row>
    <row r="8" spans="2:11">
      <c r="B8" s="241">
        <v>1</v>
      </c>
      <c r="C8" s="241"/>
      <c r="D8" s="241"/>
      <c r="E8" s="241"/>
      <c r="F8" s="242"/>
      <c r="G8" s="41">
        <v>2</v>
      </c>
      <c r="H8" s="42">
        <v>3</v>
      </c>
      <c r="I8" s="42">
        <v>4</v>
      </c>
      <c r="J8" s="54">
        <v>5</v>
      </c>
      <c r="K8" s="54">
        <v>6</v>
      </c>
    </row>
    <row r="9" spans="2:11" ht="22.5" customHeight="1">
      <c r="B9" s="254" t="s">
        <v>114</v>
      </c>
      <c r="C9" s="255"/>
      <c r="D9" s="47"/>
      <c r="E9" s="47"/>
      <c r="F9" s="47"/>
      <c r="G9" s="168">
        <f>G10+G11</f>
        <v>635582.81000000006</v>
      </c>
      <c r="H9" s="150">
        <f>H10+H11</f>
        <v>758628</v>
      </c>
      <c r="I9" s="51">
        <f>I10+I11</f>
        <v>786360.44</v>
      </c>
      <c r="J9" s="52">
        <f>J10+J11</f>
        <v>123.72273567310606</v>
      </c>
      <c r="K9" s="52">
        <f>K10+K11</f>
        <v>103.65560459144665</v>
      </c>
    </row>
    <row r="10" spans="2:11">
      <c r="B10" s="243" t="s">
        <v>112</v>
      </c>
      <c r="C10" s="246"/>
      <c r="D10" s="246"/>
      <c r="E10" s="246"/>
      <c r="F10" s="250"/>
      <c r="G10" s="169">
        <v>635582.81000000006</v>
      </c>
      <c r="H10" s="151">
        <v>758628</v>
      </c>
      <c r="I10" s="50">
        <v>786360.44</v>
      </c>
      <c r="J10" s="53">
        <f>I10/G10*100</f>
        <v>123.72273567310606</v>
      </c>
      <c r="K10" s="53">
        <f>I10/H10*100</f>
        <v>103.65560459144665</v>
      </c>
    </row>
    <row r="11" spans="2:11">
      <c r="B11" s="256" t="s">
        <v>113</v>
      </c>
      <c r="C11" s="250"/>
      <c r="D11" s="250"/>
      <c r="E11" s="250"/>
      <c r="F11" s="250"/>
      <c r="G11" s="169">
        <v>0</v>
      </c>
      <c r="H11" s="151">
        <v>0</v>
      </c>
      <c r="I11" s="49">
        <v>0</v>
      </c>
      <c r="J11" s="53">
        <v>0</v>
      </c>
      <c r="K11" s="53">
        <v>0</v>
      </c>
    </row>
    <row r="12" spans="2:11">
      <c r="B12" s="256" t="s">
        <v>117</v>
      </c>
      <c r="C12" s="257"/>
      <c r="D12" s="43"/>
      <c r="E12" s="43"/>
      <c r="F12" s="43"/>
      <c r="G12" s="170">
        <f>G13+G14</f>
        <v>637533.89</v>
      </c>
      <c r="H12" s="152">
        <f>H13+H14</f>
        <v>759038</v>
      </c>
      <c r="I12" s="48">
        <f>I13+I14</f>
        <v>786922.84000000008</v>
      </c>
      <c r="J12" s="58">
        <f>I12/G12*100</f>
        <v>123.43231510406451</v>
      </c>
      <c r="K12" s="58">
        <f>I12/H12*100</f>
        <v>103.67370803569781</v>
      </c>
    </row>
    <row r="13" spans="2:11">
      <c r="B13" s="258" t="s">
        <v>115</v>
      </c>
      <c r="C13" s="246"/>
      <c r="D13" s="246"/>
      <c r="E13" s="246"/>
      <c r="F13" s="246"/>
      <c r="G13" s="171">
        <v>607648.99</v>
      </c>
      <c r="H13" s="151">
        <v>718538</v>
      </c>
      <c r="I13" s="50">
        <v>748268.06</v>
      </c>
      <c r="J13" s="53">
        <f>I13/G13*100</f>
        <v>123.14149654062621</v>
      </c>
      <c r="K13" s="53">
        <f>I13/H13*100</f>
        <v>104.13757657910925</v>
      </c>
    </row>
    <row r="14" spans="2:11">
      <c r="B14" s="256" t="s">
        <v>116</v>
      </c>
      <c r="C14" s="250"/>
      <c r="D14" s="250"/>
      <c r="E14" s="250"/>
      <c r="F14" s="250"/>
      <c r="G14" s="169">
        <v>29884.9</v>
      </c>
      <c r="H14" s="151">
        <v>40500</v>
      </c>
      <c r="I14" s="50">
        <v>38654.78</v>
      </c>
      <c r="J14" s="53">
        <f>I14/G14*100</f>
        <v>129.34552232063683</v>
      </c>
      <c r="K14" s="53">
        <f>I14/H14*100</f>
        <v>95.443901234567903</v>
      </c>
    </row>
    <row r="15" spans="2:11">
      <c r="B15" s="235" t="s">
        <v>144</v>
      </c>
      <c r="C15" s="236"/>
      <c r="D15" s="236"/>
      <c r="E15" s="236"/>
      <c r="F15" s="236"/>
      <c r="G15" s="172">
        <f>G9-G12</f>
        <v>-1951.0799999999581</v>
      </c>
      <c r="H15" s="153">
        <f>H9-H12</f>
        <v>-410</v>
      </c>
      <c r="I15" s="154">
        <f>I9-I12</f>
        <v>-562.4000000001397</v>
      </c>
      <c r="J15" s="104">
        <f>I15/G15*100</f>
        <v>28.825060991868696</v>
      </c>
      <c r="K15" s="104">
        <f>I15/H15*100</f>
        <v>137.17073170735114</v>
      </c>
    </row>
    <row r="16" spans="2:11" ht="18">
      <c r="B16" s="44"/>
      <c r="C16" s="45"/>
      <c r="D16" s="45"/>
      <c r="E16" s="45"/>
      <c r="F16" s="45"/>
      <c r="G16" s="46"/>
      <c r="H16" s="46"/>
      <c r="I16" s="46"/>
    </row>
    <row r="17" spans="2:13" ht="18" customHeight="1">
      <c r="B17" s="253" t="s">
        <v>143</v>
      </c>
      <c r="C17" s="253"/>
      <c r="D17" s="253"/>
      <c r="E17" s="253"/>
      <c r="F17" s="253"/>
      <c r="G17" s="253"/>
      <c r="H17" s="253"/>
      <c r="I17" s="253"/>
      <c r="J17" s="253"/>
      <c r="K17" s="253"/>
    </row>
    <row r="18" spans="2:13" ht="25.5">
      <c r="B18" s="237" t="s">
        <v>61</v>
      </c>
      <c r="C18" s="238"/>
      <c r="D18" s="238"/>
      <c r="E18" s="238"/>
      <c r="F18" s="239"/>
      <c r="G18" s="148" t="s">
        <v>145</v>
      </c>
      <c r="H18" s="148" t="s">
        <v>177</v>
      </c>
      <c r="I18" s="148" t="s">
        <v>178</v>
      </c>
      <c r="J18" s="15" t="s">
        <v>62</v>
      </c>
      <c r="K18" s="15" t="s">
        <v>62</v>
      </c>
    </row>
    <row r="19" spans="2:13">
      <c r="B19" s="243" t="s">
        <v>118</v>
      </c>
      <c r="C19" s="244"/>
      <c r="D19" s="244"/>
      <c r="E19" s="244"/>
      <c r="F19" s="245"/>
      <c r="G19" s="165">
        <v>0</v>
      </c>
      <c r="H19" s="61">
        <v>0</v>
      </c>
      <c r="I19" s="59">
        <v>0</v>
      </c>
      <c r="J19" s="58">
        <v>0</v>
      </c>
      <c r="K19" s="58">
        <v>0</v>
      </c>
    </row>
    <row r="20" spans="2:13">
      <c r="B20" s="243" t="s">
        <v>119</v>
      </c>
      <c r="C20" s="246"/>
      <c r="D20" s="246"/>
      <c r="E20" s="246"/>
      <c r="F20" s="246"/>
      <c r="G20" s="165">
        <v>0</v>
      </c>
      <c r="H20" s="61">
        <v>0</v>
      </c>
      <c r="I20" s="59">
        <v>0</v>
      </c>
      <c r="J20" s="58">
        <v>0</v>
      </c>
      <c r="K20" s="58">
        <v>0</v>
      </c>
    </row>
    <row r="21" spans="2:13">
      <c r="B21" s="247" t="s">
        <v>162</v>
      </c>
      <c r="C21" s="248"/>
      <c r="D21" s="248"/>
      <c r="E21" s="248"/>
      <c r="F21" s="249"/>
      <c r="G21" s="166">
        <f>G19-G20</f>
        <v>0</v>
      </c>
      <c r="H21" s="62">
        <f>H19-H20</f>
        <v>0</v>
      </c>
      <c r="I21" s="60">
        <f>I19-I20</f>
        <v>0</v>
      </c>
      <c r="J21" s="126">
        <v>0</v>
      </c>
      <c r="K21" s="126">
        <v>0</v>
      </c>
      <c r="M21" s="57"/>
    </row>
    <row r="22" spans="2:13">
      <c r="B22" s="247" t="s">
        <v>163</v>
      </c>
      <c r="C22" s="248"/>
      <c r="D22" s="248"/>
      <c r="E22" s="248"/>
      <c r="F22" s="249"/>
      <c r="G22" s="166">
        <v>2360.91</v>
      </c>
      <c r="H22" s="62">
        <v>410</v>
      </c>
      <c r="I22" s="60">
        <v>409.83</v>
      </c>
      <c r="J22" s="126">
        <f>I22/G22*100</f>
        <v>17.358984459382189</v>
      </c>
      <c r="K22" s="126">
        <f>I22/H22*100</f>
        <v>99.958536585365849</v>
      </c>
    </row>
    <row r="23" spans="2:13">
      <c r="B23" s="235" t="s">
        <v>164</v>
      </c>
      <c r="C23" s="236"/>
      <c r="D23" s="236"/>
      <c r="E23" s="236"/>
      <c r="F23" s="236"/>
      <c r="G23" s="167">
        <f>G22+G15</f>
        <v>409.83000000004176</v>
      </c>
      <c r="H23" s="62">
        <f>H22</f>
        <v>410</v>
      </c>
      <c r="I23" s="60">
        <f>I22+I15</f>
        <v>-152.57000000013971</v>
      </c>
      <c r="J23" s="126">
        <f>I23/G23*100</f>
        <v>-37.22763096896864</v>
      </c>
      <c r="K23" s="126">
        <f>I23/H23*100</f>
        <v>-37.212195121985296</v>
      </c>
    </row>
    <row r="28" spans="2:13" ht="24" customHeight="1"/>
    <row r="29" spans="2:13" ht="39.75" customHeight="1">
      <c r="B29" s="125"/>
      <c r="G29" s="20"/>
      <c r="H29" s="20"/>
    </row>
    <row r="30" spans="2:13" ht="39" customHeight="1">
      <c r="G30" s="20"/>
      <c r="H30" s="137"/>
    </row>
    <row r="37" spans="2:12"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44" spans="2:12">
      <c r="L44" s="57"/>
    </row>
  </sheetData>
  <mergeCells count="19">
    <mergeCell ref="B1:K2"/>
    <mergeCell ref="B3:K3"/>
    <mergeCell ref="B6:K6"/>
    <mergeCell ref="B17:K17"/>
    <mergeCell ref="B9:C9"/>
    <mergeCell ref="B12:C12"/>
    <mergeCell ref="B11:F11"/>
    <mergeCell ref="B13:F13"/>
    <mergeCell ref="B14:F14"/>
    <mergeCell ref="B23:F23"/>
    <mergeCell ref="B18:F18"/>
    <mergeCell ref="B15:F15"/>
    <mergeCell ref="B7:F7"/>
    <mergeCell ref="B8:F8"/>
    <mergeCell ref="B19:F19"/>
    <mergeCell ref="B20:F20"/>
    <mergeCell ref="B21:F21"/>
    <mergeCell ref="B10:F10"/>
    <mergeCell ref="B22:F2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ignoredErrors>
    <ignoredError sqref="H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U110"/>
  <sheetViews>
    <sheetView zoomScaleNormal="100" workbookViewId="0"/>
  </sheetViews>
  <sheetFormatPr defaultColWidth="9.140625" defaultRowHeight="15"/>
  <cols>
    <col min="1" max="2" width="9.140625" style="1"/>
    <col min="3" max="5" width="11.5703125" style="1" customWidth="1"/>
    <col min="6" max="6" width="46.28515625" style="1" customWidth="1"/>
    <col min="7" max="7" width="13.7109375" style="1" customWidth="1"/>
    <col min="8" max="8" width="17.7109375" style="1" customWidth="1"/>
    <col min="9" max="9" width="13.7109375" style="1" customWidth="1"/>
    <col min="10" max="10" width="15.85546875" style="6" customWidth="1"/>
    <col min="11" max="11" width="14.140625" style="6" customWidth="1"/>
    <col min="12" max="12" width="11" style="6" bestFit="1" customWidth="1"/>
    <col min="13" max="13" width="17.42578125" style="6" customWidth="1"/>
    <col min="14" max="18" width="15.140625" style="1" customWidth="1"/>
    <col min="19" max="19" width="16.7109375" style="1" hidden="1" customWidth="1"/>
    <col min="20" max="20" width="16.42578125" style="1" hidden="1" customWidth="1"/>
    <col min="21" max="21" width="12.5703125" style="1" hidden="1" customWidth="1"/>
    <col min="22" max="22" width="15.140625" style="1" customWidth="1"/>
    <col min="23" max="16384" width="9.140625" style="1"/>
  </cols>
  <sheetData>
    <row r="1" spans="2:13" ht="20.45" customHeight="1">
      <c r="B1" s="284" t="s">
        <v>120</v>
      </c>
      <c r="C1" s="284"/>
      <c r="D1" s="284"/>
      <c r="E1" s="284"/>
      <c r="F1" s="284"/>
      <c r="G1" s="284"/>
      <c r="H1" s="284"/>
      <c r="I1" s="284"/>
      <c r="J1" s="284"/>
      <c r="K1" s="284"/>
      <c r="L1" s="97"/>
      <c r="M1" s="55"/>
    </row>
    <row r="3" spans="2:13" ht="20.25" customHeight="1">
      <c r="B3" s="284" t="s">
        <v>124</v>
      </c>
      <c r="C3" s="284"/>
      <c r="D3" s="284"/>
      <c r="E3" s="284"/>
      <c r="F3" s="284"/>
      <c r="G3" s="284"/>
      <c r="H3" s="284"/>
      <c r="I3" s="284"/>
      <c r="J3" s="284"/>
      <c r="K3" s="284"/>
      <c r="L3" s="97"/>
      <c r="M3" s="56"/>
    </row>
    <row r="4" spans="2:13" ht="20.25">
      <c r="C4" s="35"/>
      <c r="D4" s="35"/>
      <c r="E4" s="35"/>
      <c r="F4" s="35"/>
      <c r="G4" s="35"/>
      <c r="H4" s="35"/>
      <c r="I4" s="35"/>
      <c r="J4" s="35"/>
      <c r="K4" s="35"/>
      <c r="L4" s="35"/>
      <c r="M4" s="56"/>
    </row>
    <row r="5" spans="2:13" ht="20.25" customHeight="1">
      <c r="B5" s="284" t="s">
        <v>125</v>
      </c>
      <c r="C5" s="284"/>
      <c r="D5" s="284"/>
      <c r="E5" s="284"/>
      <c r="F5" s="284"/>
      <c r="G5" s="284"/>
      <c r="H5" s="284"/>
      <c r="I5" s="284"/>
      <c r="J5" s="284"/>
      <c r="K5" s="284"/>
      <c r="L5" s="97"/>
      <c r="M5" s="56"/>
    </row>
    <row r="6" spans="2:13" s="3" customFormat="1">
      <c r="C6" s="2"/>
      <c r="D6" s="2"/>
      <c r="E6" s="2"/>
      <c r="J6" s="4"/>
      <c r="K6" s="4"/>
      <c r="L6" s="4"/>
      <c r="M6" s="4"/>
    </row>
    <row r="7" spans="2:13" ht="15.75" customHeight="1">
      <c r="B7" s="274" t="s">
        <v>61</v>
      </c>
      <c r="C7" s="275"/>
      <c r="D7" s="275"/>
      <c r="E7" s="275"/>
      <c r="F7" s="276"/>
      <c r="G7" s="272" t="s">
        <v>122</v>
      </c>
      <c r="H7" s="272" t="s">
        <v>179</v>
      </c>
      <c r="I7" s="270" t="s">
        <v>178</v>
      </c>
      <c r="J7" s="285" t="s">
        <v>62</v>
      </c>
      <c r="K7" s="285" t="s">
        <v>62</v>
      </c>
      <c r="L7" s="1"/>
      <c r="M7" s="1"/>
    </row>
    <row r="8" spans="2:13" ht="31.5" customHeight="1">
      <c r="B8" s="277"/>
      <c r="C8" s="278"/>
      <c r="D8" s="278"/>
      <c r="E8" s="278"/>
      <c r="F8" s="279"/>
      <c r="G8" s="273"/>
      <c r="H8" s="273"/>
      <c r="I8" s="271"/>
      <c r="J8" s="285"/>
      <c r="K8" s="285"/>
      <c r="L8" s="1"/>
      <c r="M8" s="1"/>
    </row>
    <row r="9" spans="2:13" s="9" customFormat="1" ht="12" customHeight="1">
      <c r="B9" s="281">
        <v>1</v>
      </c>
      <c r="C9" s="282"/>
      <c r="D9" s="282"/>
      <c r="E9" s="282"/>
      <c r="F9" s="283"/>
      <c r="G9" s="105">
        <v>2</v>
      </c>
      <c r="H9" s="105">
        <v>3</v>
      </c>
      <c r="I9" s="106">
        <v>4</v>
      </c>
      <c r="J9" s="107">
        <v>5</v>
      </c>
      <c r="K9" s="107">
        <v>6</v>
      </c>
    </row>
    <row r="10" spans="2:13" s="9" customFormat="1" ht="24.95" customHeight="1">
      <c r="B10" s="63"/>
      <c r="C10" s="64"/>
      <c r="D10" s="65"/>
      <c r="E10" s="65"/>
      <c r="F10" s="66" t="s">
        <v>140</v>
      </c>
      <c r="G10" s="67">
        <f>G11</f>
        <v>635582.81000000006</v>
      </c>
      <c r="H10" s="67">
        <f>H11</f>
        <v>758628</v>
      </c>
      <c r="I10" s="100">
        <f>I11</f>
        <v>786360.44000000006</v>
      </c>
      <c r="J10" s="58">
        <f>I10/G10*100</f>
        <v>123.72273567310607</v>
      </c>
      <c r="K10" s="58">
        <f>I10/H10*100</f>
        <v>103.65560459144668</v>
      </c>
    </row>
    <row r="11" spans="2:13" s="9" customFormat="1" ht="24.95" customHeight="1">
      <c r="B11" s="68">
        <v>6</v>
      </c>
      <c r="C11" s="69"/>
      <c r="D11" s="69"/>
      <c r="E11" s="69"/>
      <c r="F11" s="66" t="s">
        <v>123</v>
      </c>
      <c r="G11" s="67">
        <f>G12+G18+G21+G24+G29+G33</f>
        <v>635582.81000000006</v>
      </c>
      <c r="H11" s="67">
        <f>H12+H18+H21+H24+H29</f>
        <v>758628</v>
      </c>
      <c r="I11" s="100">
        <f>I12+I18+I21+I24+I29+I33</f>
        <v>786360.44000000006</v>
      </c>
      <c r="J11" s="58">
        <f t="shared" ref="J11:J12" si="0">I11/G11*100</f>
        <v>123.72273567310607</v>
      </c>
      <c r="K11" s="58">
        <f t="shared" ref="K11:K12" si="1">I11/H11*100</f>
        <v>103.65560459144668</v>
      </c>
    </row>
    <row r="12" spans="2:13" s="9" customFormat="1" ht="24.95" customHeight="1">
      <c r="B12" s="63"/>
      <c r="C12" s="70">
        <v>63</v>
      </c>
      <c r="D12" s="70"/>
      <c r="E12" s="70"/>
      <c r="F12" s="71" t="s">
        <v>16</v>
      </c>
      <c r="G12" s="72">
        <f>G15+G13</f>
        <v>465478.27</v>
      </c>
      <c r="H12" s="73">
        <f>H15+H13</f>
        <v>565825</v>
      </c>
      <c r="I12" s="72">
        <f>I15+I13</f>
        <v>593708.97</v>
      </c>
      <c r="J12" s="58">
        <f t="shared" si="0"/>
        <v>127.54816030402449</v>
      </c>
      <c r="K12" s="58">
        <f t="shared" si="1"/>
        <v>104.92802014757213</v>
      </c>
    </row>
    <row r="13" spans="2:13" s="9" customFormat="1" ht="24.95" customHeight="1">
      <c r="B13" s="63"/>
      <c r="C13" s="70"/>
      <c r="D13" s="70">
        <v>634</v>
      </c>
      <c r="E13" s="70"/>
      <c r="F13" s="71" t="s">
        <v>199</v>
      </c>
      <c r="G13" s="72">
        <f>G14</f>
        <v>52</v>
      </c>
      <c r="H13" s="73">
        <v>0</v>
      </c>
      <c r="I13" s="72">
        <f>I14</f>
        <v>0</v>
      </c>
      <c r="J13" s="58">
        <f t="shared" ref="J13:J35" si="2">I13/G13*100</f>
        <v>0</v>
      </c>
      <c r="K13" s="58"/>
    </row>
    <row r="14" spans="2:13" s="9" customFormat="1" ht="24.95" customHeight="1">
      <c r="B14" s="63"/>
      <c r="C14" s="70"/>
      <c r="D14" s="70"/>
      <c r="E14" s="70">
        <v>6341</v>
      </c>
      <c r="F14" s="71" t="s">
        <v>200</v>
      </c>
      <c r="G14" s="72">
        <f>52</f>
        <v>52</v>
      </c>
      <c r="H14" s="73"/>
      <c r="I14" s="72">
        <v>0</v>
      </c>
      <c r="J14" s="58">
        <f t="shared" si="2"/>
        <v>0</v>
      </c>
      <c r="K14" s="58"/>
    </row>
    <row r="15" spans="2:13" s="9" customFormat="1" ht="24.95" customHeight="1">
      <c r="B15" s="63"/>
      <c r="C15" s="63"/>
      <c r="D15" s="70">
        <v>636</v>
      </c>
      <c r="E15" s="70"/>
      <c r="F15" s="71" t="s">
        <v>21</v>
      </c>
      <c r="G15" s="72">
        <f>G16+G17</f>
        <v>465426.27</v>
      </c>
      <c r="H15" s="74">
        <f>7500+558325</f>
        <v>565825</v>
      </c>
      <c r="I15" s="72">
        <f>I16+I17</f>
        <v>593708.97</v>
      </c>
      <c r="J15" s="58">
        <f t="shared" si="2"/>
        <v>127.56241069074161</v>
      </c>
      <c r="K15" s="58">
        <f t="shared" ref="K15:K32" si="3">I15/H15*100</f>
        <v>104.92802014757213</v>
      </c>
    </row>
    <row r="16" spans="2:13" s="9" customFormat="1" ht="24.95" customHeight="1">
      <c r="B16" s="63"/>
      <c r="C16" s="63"/>
      <c r="D16" s="69"/>
      <c r="E16" s="174">
        <v>6361</v>
      </c>
      <c r="F16" s="75" t="s">
        <v>126</v>
      </c>
      <c r="G16" s="226">
        <v>460630.75</v>
      </c>
      <c r="H16" s="76"/>
      <c r="I16" s="77">
        <f>15284.73+572674.26</f>
        <v>587958.99</v>
      </c>
      <c r="J16" s="58">
        <f t="shared" si="2"/>
        <v>127.642149378868</v>
      </c>
      <c r="K16" s="58"/>
    </row>
    <row r="17" spans="2:14" s="9" customFormat="1" ht="24.95" customHeight="1">
      <c r="B17" s="63"/>
      <c r="C17" s="63"/>
      <c r="D17" s="69"/>
      <c r="E17" s="174">
        <v>6362</v>
      </c>
      <c r="F17" s="75" t="s">
        <v>127</v>
      </c>
      <c r="G17" s="226">
        <v>4795.5200000000004</v>
      </c>
      <c r="H17" s="76"/>
      <c r="I17" s="77">
        <v>5749.98</v>
      </c>
      <c r="J17" s="58">
        <f t="shared" si="2"/>
        <v>119.90315961564124</v>
      </c>
      <c r="K17" s="58"/>
    </row>
    <row r="18" spans="2:14" s="9" customFormat="1" ht="24.95" customHeight="1">
      <c r="B18" s="63"/>
      <c r="C18" s="70">
        <v>64</v>
      </c>
      <c r="D18" s="70"/>
      <c r="E18" s="70"/>
      <c r="F18" s="71" t="s">
        <v>55</v>
      </c>
      <c r="G18" s="72">
        <f>G19</f>
        <v>0</v>
      </c>
      <c r="H18" s="73">
        <f>SUM(H19:H19)</f>
        <v>0</v>
      </c>
      <c r="I18" s="72">
        <f>I19</f>
        <v>0.04</v>
      </c>
      <c r="J18" s="58"/>
      <c r="K18" s="58"/>
    </row>
    <row r="19" spans="2:14" s="9" customFormat="1" ht="24.95" customHeight="1">
      <c r="B19" s="63"/>
      <c r="C19" s="63"/>
      <c r="D19" s="70">
        <v>641</v>
      </c>
      <c r="E19" s="70"/>
      <c r="F19" s="71" t="s">
        <v>56</v>
      </c>
      <c r="G19" s="78">
        <f>G20</f>
        <v>0</v>
      </c>
      <c r="H19" s="74">
        <v>0</v>
      </c>
      <c r="I19" s="72">
        <f>I20</f>
        <v>0.04</v>
      </c>
      <c r="J19" s="58"/>
      <c r="K19" s="58"/>
    </row>
    <row r="20" spans="2:14" s="9" customFormat="1" ht="24.95" customHeight="1">
      <c r="B20" s="63"/>
      <c r="C20" s="63"/>
      <c r="D20" s="69"/>
      <c r="E20" s="174">
        <v>6413</v>
      </c>
      <c r="F20" s="75" t="s">
        <v>132</v>
      </c>
      <c r="G20" s="76">
        <v>0</v>
      </c>
      <c r="H20" s="76"/>
      <c r="I20" s="77">
        <v>0.04</v>
      </c>
      <c r="J20" s="58"/>
      <c r="K20" s="58"/>
    </row>
    <row r="21" spans="2:14" s="9" customFormat="1" ht="24.95" customHeight="1">
      <c r="B21" s="63"/>
      <c r="C21" s="75">
        <v>65</v>
      </c>
      <c r="D21" s="69"/>
      <c r="E21" s="69"/>
      <c r="F21" s="75" t="s">
        <v>128</v>
      </c>
      <c r="G21" s="78">
        <f>G22</f>
        <v>2125.9299999999998</v>
      </c>
      <c r="H21" s="74">
        <f>H22</f>
        <v>8004</v>
      </c>
      <c r="I21" s="77">
        <f>I22</f>
        <v>2374.1000000000004</v>
      </c>
      <c r="J21" s="58">
        <f t="shared" si="2"/>
        <v>111.67347937138101</v>
      </c>
      <c r="K21" s="58">
        <f t="shared" si="3"/>
        <v>29.661419290354829</v>
      </c>
    </row>
    <row r="22" spans="2:14" s="9" customFormat="1" ht="24.95" customHeight="1">
      <c r="B22" s="63"/>
      <c r="C22" s="63"/>
      <c r="D22" s="70">
        <v>652</v>
      </c>
      <c r="E22" s="70"/>
      <c r="F22" s="71" t="s">
        <v>20</v>
      </c>
      <c r="G22" s="72">
        <f>G23</f>
        <v>2125.9299999999998</v>
      </c>
      <c r="H22" s="73">
        <f>4+8000</f>
        <v>8004</v>
      </c>
      <c r="I22" s="72">
        <f>SUM(I23:I23)</f>
        <v>2374.1000000000004</v>
      </c>
      <c r="J22" s="58">
        <f t="shared" si="2"/>
        <v>111.67347937138101</v>
      </c>
      <c r="K22" s="58">
        <f t="shared" si="3"/>
        <v>29.661419290354829</v>
      </c>
    </row>
    <row r="23" spans="2:14" s="9" customFormat="1" ht="24.95" customHeight="1">
      <c r="B23" s="63"/>
      <c r="C23" s="63"/>
      <c r="D23" s="70"/>
      <c r="E23" s="79">
        <v>6526</v>
      </c>
      <c r="F23" s="71" t="s">
        <v>133</v>
      </c>
      <c r="G23" s="72">
        <v>2125.9299999999998</v>
      </c>
      <c r="H23" s="74"/>
      <c r="I23" s="72">
        <f>43.8+2330.3</f>
        <v>2374.1000000000004</v>
      </c>
      <c r="J23" s="58">
        <f t="shared" si="2"/>
        <v>111.67347937138101</v>
      </c>
      <c r="K23" s="58"/>
    </row>
    <row r="24" spans="2:14" s="9" customFormat="1" ht="24.95" customHeight="1">
      <c r="B24" s="63"/>
      <c r="C24" s="70">
        <v>66</v>
      </c>
      <c r="D24" s="70"/>
      <c r="E24" s="70"/>
      <c r="F24" s="71" t="s">
        <v>129</v>
      </c>
      <c r="G24" s="72">
        <f>G27+G25</f>
        <v>13629.61</v>
      </c>
      <c r="H24" s="73">
        <f>H25+H27</f>
        <v>10326</v>
      </c>
      <c r="I24" s="72">
        <f>I25+I27</f>
        <v>18511.11</v>
      </c>
      <c r="J24" s="58">
        <f t="shared" si="2"/>
        <v>135.81540484283849</v>
      </c>
      <c r="K24" s="58">
        <f t="shared" si="3"/>
        <v>179.26699593259735</v>
      </c>
    </row>
    <row r="25" spans="2:14" s="9" customFormat="1" ht="24.95" customHeight="1">
      <c r="B25" s="63"/>
      <c r="C25" s="70"/>
      <c r="D25" s="70">
        <v>661</v>
      </c>
      <c r="E25" s="70"/>
      <c r="F25" s="71" t="s">
        <v>129</v>
      </c>
      <c r="G25" s="72">
        <f>G26</f>
        <v>13629.61</v>
      </c>
      <c r="H25" s="73">
        <f>10326</f>
        <v>10326</v>
      </c>
      <c r="I25" s="72">
        <f>I26</f>
        <v>18411.11</v>
      </c>
      <c r="J25" s="58">
        <f t="shared" si="2"/>
        <v>135.08170813398181</v>
      </c>
      <c r="K25" s="58">
        <f t="shared" si="3"/>
        <v>178.29856672477243</v>
      </c>
    </row>
    <row r="26" spans="2:14" s="9" customFormat="1" ht="24.95" customHeight="1">
      <c r="B26" s="63"/>
      <c r="C26" s="70"/>
      <c r="D26" s="70"/>
      <c r="E26" s="70">
        <v>6615</v>
      </c>
      <c r="F26" s="71" t="s">
        <v>196</v>
      </c>
      <c r="G26" s="72">
        <v>13629.61</v>
      </c>
      <c r="H26" s="73"/>
      <c r="I26" s="72">
        <v>18411.11</v>
      </c>
      <c r="J26" s="58">
        <f t="shared" si="2"/>
        <v>135.08170813398181</v>
      </c>
      <c r="K26" s="58"/>
    </row>
    <row r="27" spans="2:14" s="9" customFormat="1" ht="24.95" customHeight="1">
      <c r="B27" s="63"/>
      <c r="C27" s="63"/>
      <c r="D27" s="70">
        <v>663</v>
      </c>
      <c r="E27" s="70"/>
      <c r="F27" s="71" t="s">
        <v>130</v>
      </c>
      <c r="G27" s="72">
        <f>G28</f>
        <v>0</v>
      </c>
      <c r="H27" s="74">
        <v>0</v>
      </c>
      <c r="I27" s="72">
        <f>I28</f>
        <v>100</v>
      </c>
      <c r="J27" s="58"/>
      <c r="K27" s="58"/>
    </row>
    <row r="28" spans="2:14" s="9" customFormat="1" ht="24.95" customHeight="1">
      <c r="B28" s="63"/>
      <c r="C28" s="63"/>
      <c r="D28" s="70"/>
      <c r="E28" s="79">
        <v>6631</v>
      </c>
      <c r="F28" s="71" t="s">
        <v>59</v>
      </c>
      <c r="G28" s="72">
        <v>0</v>
      </c>
      <c r="H28" s="74"/>
      <c r="I28" s="72">
        <v>100</v>
      </c>
      <c r="J28" s="58"/>
      <c r="K28" s="58"/>
    </row>
    <row r="29" spans="2:14" ht="24.95" customHeight="1">
      <c r="B29" s="63"/>
      <c r="C29" s="70">
        <v>67</v>
      </c>
      <c r="D29" s="70"/>
      <c r="E29" s="70"/>
      <c r="F29" s="71" t="s">
        <v>17</v>
      </c>
      <c r="G29" s="72">
        <f>G30</f>
        <v>154347.95000000001</v>
      </c>
      <c r="H29" s="72">
        <f>H30</f>
        <v>174473</v>
      </c>
      <c r="I29" s="72">
        <f>I30</f>
        <v>171764.67</v>
      </c>
      <c r="J29" s="58">
        <f t="shared" si="2"/>
        <v>111.28406305363951</v>
      </c>
      <c r="K29" s="58">
        <f t="shared" si="3"/>
        <v>98.44770824138979</v>
      </c>
      <c r="L29" s="9"/>
      <c r="M29" s="36"/>
      <c r="N29" s="37"/>
    </row>
    <row r="30" spans="2:14" ht="24.95" customHeight="1">
      <c r="B30" s="63"/>
      <c r="C30" s="63"/>
      <c r="D30" s="70">
        <v>671</v>
      </c>
      <c r="E30" s="70"/>
      <c r="F30" s="71" t="s">
        <v>131</v>
      </c>
      <c r="G30" s="72">
        <f>G31+G32</f>
        <v>154347.95000000001</v>
      </c>
      <c r="H30" s="72">
        <f>H31+H32</f>
        <v>174473</v>
      </c>
      <c r="I30" s="72">
        <f>I31+I32</f>
        <v>171764.67</v>
      </c>
      <c r="J30" s="58">
        <f t="shared" si="2"/>
        <v>111.28406305363951</v>
      </c>
      <c r="K30" s="58">
        <f t="shared" si="3"/>
        <v>98.44770824138979</v>
      </c>
      <c r="L30" s="9"/>
      <c r="M30" s="36"/>
      <c r="N30" s="37"/>
    </row>
    <row r="31" spans="2:14" ht="24.95" customHeight="1">
      <c r="B31" s="63"/>
      <c r="C31" s="63"/>
      <c r="D31" s="70"/>
      <c r="E31" s="79">
        <v>6711</v>
      </c>
      <c r="F31" s="71" t="s">
        <v>18</v>
      </c>
      <c r="G31" s="72">
        <v>133692.6</v>
      </c>
      <c r="H31" s="72">
        <f>7908+2600+8141+117+728+9738+77510+7141+7022+21068</f>
        <v>141973</v>
      </c>
      <c r="I31" s="72">
        <v>139264.67000000001</v>
      </c>
      <c r="J31" s="58">
        <f t="shared" si="2"/>
        <v>104.16782230280511</v>
      </c>
      <c r="K31" s="58">
        <f t="shared" si="3"/>
        <v>98.092362632331515</v>
      </c>
      <c r="L31" s="9"/>
      <c r="M31" s="36"/>
      <c r="N31" s="37"/>
    </row>
    <row r="32" spans="2:14" ht="24.95" customHeight="1">
      <c r="B32" s="63"/>
      <c r="C32" s="63"/>
      <c r="D32" s="70"/>
      <c r="E32" s="79">
        <v>6712</v>
      </c>
      <c r="F32" s="71" t="s">
        <v>19</v>
      </c>
      <c r="G32" s="72">
        <v>20655.349999999999</v>
      </c>
      <c r="H32" s="73">
        <v>32500</v>
      </c>
      <c r="I32" s="72">
        <v>32500</v>
      </c>
      <c r="J32" s="58">
        <f t="shared" si="2"/>
        <v>157.34422316736342</v>
      </c>
      <c r="K32" s="58">
        <f t="shared" si="3"/>
        <v>100</v>
      </c>
      <c r="L32" s="9"/>
      <c r="M32" s="36"/>
      <c r="N32" s="37"/>
    </row>
    <row r="33" spans="2:14" ht="24.95" customHeight="1">
      <c r="B33" s="63"/>
      <c r="C33" s="173">
        <v>68</v>
      </c>
      <c r="D33" s="70"/>
      <c r="E33" s="70"/>
      <c r="F33" s="71" t="s">
        <v>197</v>
      </c>
      <c r="G33" s="72">
        <f>G34</f>
        <v>1.05</v>
      </c>
      <c r="H33" s="73"/>
      <c r="I33" s="72">
        <f>I34</f>
        <v>1.55</v>
      </c>
      <c r="J33" s="58">
        <f t="shared" si="2"/>
        <v>147.61904761904762</v>
      </c>
      <c r="K33" s="58"/>
      <c r="L33" s="9"/>
      <c r="M33" s="36"/>
      <c r="N33" s="37"/>
    </row>
    <row r="34" spans="2:14" ht="24.95" customHeight="1">
      <c r="B34" s="63"/>
      <c r="C34" s="63"/>
      <c r="D34" s="70">
        <v>683</v>
      </c>
      <c r="E34" s="70"/>
      <c r="F34" s="71" t="s">
        <v>198</v>
      </c>
      <c r="G34" s="72">
        <f>G35</f>
        <v>1.05</v>
      </c>
      <c r="H34" s="73"/>
      <c r="I34" s="72">
        <f>I35</f>
        <v>1.55</v>
      </c>
      <c r="J34" s="58">
        <f t="shared" si="2"/>
        <v>147.61904761904762</v>
      </c>
      <c r="K34" s="58"/>
      <c r="L34" s="9"/>
      <c r="M34" s="36"/>
      <c r="N34" s="37"/>
    </row>
    <row r="35" spans="2:14" ht="24.95" customHeight="1">
      <c r="B35" s="63"/>
      <c r="C35" s="63"/>
      <c r="D35" s="70"/>
      <c r="E35" s="70">
        <v>6831</v>
      </c>
      <c r="F35" s="71" t="s">
        <v>133</v>
      </c>
      <c r="G35" s="72">
        <v>1.05</v>
      </c>
      <c r="H35" s="73"/>
      <c r="I35" s="72">
        <v>1.55</v>
      </c>
      <c r="J35" s="58">
        <f t="shared" si="2"/>
        <v>147.61904761904762</v>
      </c>
      <c r="K35" s="58"/>
      <c r="L35" s="9"/>
      <c r="M35" s="36"/>
      <c r="N35" s="37"/>
    </row>
    <row r="36" spans="2:14" ht="24.95" customHeight="1">
      <c r="B36" s="127"/>
      <c r="C36" s="127"/>
      <c r="D36" s="128"/>
      <c r="E36" s="128"/>
      <c r="F36" s="129"/>
      <c r="G36" s="130"/>
      <c r="H36" s="131"/>
      <c r="I36" s="130"/>
      <c r="J36" s="132"/>
      <c r="K36" s="132"/>
      <c r="L36" s="9"/>
      <c r="M36" s="36"/>
      <c r="N36" s="37"/>
    </row>
    <row r="37" spans="2:14">
      <c r="B37" s="133"/>
      <c r="L37" s="9"/>
      <c r="M37" s="36"/>
      <c r="N37" s="37"/>
    </row>
    <row r="38" spans="2:14" ht="24.75" customHeight="1">
      <c r="B38" s="280" t="s">
        <v>61</v>
      </c>
      <c r="C38" s="262"/>
      <c r="D38" s="262"/>
      <c r="E38" s="262"/>
      <c r="F38" s="263"/>
      <c r="G38" s="267" t="s">
        <v>122</v>
      </c>
      <c r="H38" s="267" t="s">
        <v>179</v>
      </c>
      <c r="I38" s="267" t="s">
        <v>178</v>
      </c>
      <c r="J38" s="259" t="s">
        <v>62</v>
      </c>
      <c r="K38" s="259" t="s">
        <v>62</v>
      </c>
      <c r="L38" s="9"/>
      <c r="M38" s="36"/>
      <c r="N38" s="37"/>
    </row>
    <row r="39" spans="2:14" ht="29.25" customHeight="1">
      <c r="B39" s="264"/>
      <c r="C39" s="265"/>
      <c r="D39" s="265"/>
      <c r="E39" s="265"/>
      <c r="F39" s="266"/>
      <c r="G39" s="268"/>
      <c r="H39" s="268"/>
      <c r="I39" s="268"/>
      <c r="J39" s="259"/>
      <c r="K39" s="259"/>
      <c r="L39" s="9"/>
      <c r="M39" s="36"/>
      <c r="N39" s="37"/>
    </row>
    <row r="40" spans="2:14" ht="24.95" customHeight="1">
      <c r="B40" s="108"/>
      <c r="C40" s="269">
        <v>1</v>
      </c>
      <c r="D40" s="260"/>
      <c r="E40" s="260"/>
      <c r="F40" s="260"/>
      <c r="G40" s="109">
        <v>2</v>
      </c>
      <c r="H40" s="109">
        <v>3</v>
      </c>
      <c r="I40" s="110">
        <v>4</v>
      </c>
      <c r="J40" s="107">
        <v>5</v>
      </c>
      <c r="K40" s="107">
        <v>6</v>
      </c>
      <c r="L40" s="9"/>
      <c r="M40" s="36"/>
      <c r="N40" s="37"/>
    </row>
    <row r="41" spans="2:14" s="8" customFormat="1" ht="24.95" customHeight="1">
      <c r="B41" s="63"/>
      <c r="C41" s="80"/>
      <c r="D41" s="81"/>
      <c r="E41" s="81"/>
      <c r="F41" s="82" t="s">
        <v>142</v>
      </c>
      <c r="G41" s="83">
        <f>G42+G89</f>
        <v>637533.89000000013</v>
      </c>
      <c r="H41" s="83">
        <f>H42+H89</f>
        <v>759038</v>
      </c>
      <c r="I41" s="101">
        <f>I42+I89</f>
        <v>786922.84</v>
      </c>
      <c r="J41" s="58">
        <f>I41/G41*100</f>
        <v>123.43231510406447</v>
      </c>
      <c r="K41" s="58">
        <f>I41/H41*100</f>
        <v>103.67370803569781</v>
      </c>
      <c r="L41" s="9"/>
      <c r="M41" s="36"/>
      <c r="N41" s="37"/>
    </row>
    <row r="42" spans="2:14" ht="24.95" customHeight="1">
      <c r="B42" s="68">
        <v>3</v>
      </c>
      <c r="C42" s="80"/>
      <c r="D42" s="81"/>
      <c r="E42" s="81"/>
      <c r="F42" s="82" t="s">
        <v>141</v>
      </c>
      <c r="G42" s="83">
        <f>G43+G51+G79+G83+G86</f>
        <v>607648.99000000011</v>
      </c>
      <c r="H42" s="83">
        <f>H43+H51+H79+H83+H86</f>
        <v>717338</v>
      </c>
      <c r="I42" s="101">
        <f>I43+I51+I79+I83+I86</f>
        <v>748268.05999999994</v>
      </c>
      <c r="J42" s="58">
        <f t="shared" ref="J42:J97" si="4">I42/G42*100</f>
        <v>123.14149654062616</v>
      </c>
      <c r="K42" s="58">
        <f t="shared" ref="K42:K96" si="5">I42/H42*100</f>
        <v>104.31178328765517</v>
      </c>
      <c r="L42" s="9"/>
      <c r="M42" s="5"/>
    </row>
    <row r="43" spans="2:14" ht="24.95" customHeight="1">
      <c r="B43" s="84"/>
      <c r="C43" s="79">
        <v>31</v>
      </c>
      <c r="D43" s="70"/>
      <c r="E43" s="70"/>
      <c r="F43" s="85" t="s">
        <v>0</v>
      </c>
      <c r="G43" s="72">
        <f>SUM(G44,G47,G49)</f>
        <v>434843.65</v>
      </c>
      <c r="H43" s="73">
        <f>SUM(H44,H47,H49)</f>
        <v>530907</v>
      </c>
      <c r="I43" s="72">
        <f>SUM(I44,I47,I49)</f>
        <v>549337.67999999993</v>
      </c>
      <c r="J43" s="58">
        <f t="shared" si="4"/>
        <v>126.32993030943418</v>
      </c>
      <c r="K43" s="58">
        <f t="shared" si="5"/>
        <v>103.47154586396485</v>
      </c>
      <c r="L43" s="9"/>
      <c r="M43" s="5"/>
    </row>
    <row r="44" spans="2:14" ht="24.95" customHeight="1">
      <c r="B44" s="84"/>
      <c r="C44" s="86"/>
      <c r="D44" s="70">
        <v>311</v>
      </c>
      <c r="E44" s="70"/>
      <c r="F44" s="87" t="s">
        <v>1</v>
      </c>
      <c r="G44" s="72">
        <f>G45+G46</f>
        <v>353126.18</v>
      </c>
      <c r="H44" s="73">
        <f>5536+2000+5735+406000+5368+16106</f>
        <v>440745</v>
      </c>
      <c r="I44" s="72">
        <f>I45+I46</f>
        <v>453494.1</v>
      </c>
      <c r="J44" s="58">
        <f t="shared" si="4"/>
        <v>128.42267882828736</v>
      </c>
      <c r="K44" s="58">
        <f t="shared" si="5"/>
        <v>102.8926249872375</v>
      </c>
      <c r="L44" s="9"/>
      <c r="M44" s="5"/>
    </row>
    <row r="45" spans="2:14" ht="24.95" customHeight="1">
      <c r="B45" s="84"/>
      <c r="C45" s="86"/>
      <c r="D45" s="70"/>
      <c r="E45" s="70">
        <v>3111</v>
      </c>
      <c r="F45" s="71" t="s">
        <v>22</v>
      </c>
      <c r="G45" s="72">
        <v>348908.62</v>
      </c>
      <c r="H45" s="73"/>
      <c r="I45" s="72">
        <v>447603.44</v>
      </c>
      <c r="J45" s="58">
        <f t="shared" si="4"/>
        <v>128.2867244724421</v>
      </c>
      <c r="K45" s="58"/>
      <c r="L45" s="9"/>
    </row>
    <row r="46" spans="2:14" s="10" customFormat="1" ht="24.95" customHeight="1">
      <c r="B46" s="84"/>
      <c r="C46" s="86"/>
      <c r="D46" s="70"/>
      <c r="E46" s="70">
        <v>3114</v>
      </c>
      <c r="F46" s="71" t="s">
        <v>134</v>
      </c>
      <c r="G46" s="72">
        <v>4217.5600000000004</v>
      </c>
      <c r="H46" s="73"/>
      <c r="I46" s="72">
        <v>5890.66</v>
      </c>
      <c r="J46" s="58">
        <f t="shared" si="4"/>
        <v>139.66985650470886</v>
      </c>
      <c r="K46" s="58"/>
      <c r="L46" s="9"/>
      <c r="M46" s="38"/>
    </row>
    <row r="47" spans="2:14" s="10" customFormat="1" ht="24.95" customHeight="1">
      <c r="B47" s="84"/>
      <c r="C47" s="86"/>
      <c r="D47" s="70">
        <v>312</v>
      </c>
      <c r="E47" s="70"/>
      <c r="F47" s="87" t="s">
        <v>2</v>
      </c>
      <c r="G47" s="72">
        <f>SUM(G48)</f>
        <v>23613.81</v>
      </c>
      <c r="H47" s="73">
        <f>919+881+16400+250+750</f>
        <v>19200</v>
      </c>
      <c r="I47" s="72">
        <f>SUM(I48)</f>
        <v>21209.54</v>
      </c>
      <c r="J47" s="58">
        <f t="shared" si="4"/>
        <v>89.818373231596254</v>
      </c>
      <c r="K47" s="58">
        <f t="shared" si="5"/>
        <v>110.46635416666668</v>
      </c>
      <c r="L47" s="9"/>
    </row>
    <row r="48" spans="2:14" s="10" customFormat="1" ht="24.95" customHeight="1">
      <c r="B48" s="84"/>
      <c r="C48" s="86"/>
      <c r="D48" s="70"/>
      <c r="E48" s="70">
        <v>3121</v>
      </c>
      <c r="F48" s="87" t="s">
        <v>2</v>
      </c>
      <c r="G48" s="72">
        <v>23613.81</v>
      </c>
      <c r="H48" s="73"/>
      <c r="I48" s="72">
        <v>21209.54</v>
      </c>
      <c r="J48" s="58">
        <f t="shared" si="4"/>
        <v>89.818373231596254</v>
      </c>
      <c r="K48" s="58"/>
      <c r="L48" s="9"/>
    </row>
    <row r="49" spans="2:14" s="11" customFormat="1" ht="24.95" customHeight="1">
      <c r="B49" s="84"/>
      <c r="C49" s="86"/>
      <c r="D49" s="70">
        <v>313</v>
      </c>
      <c r="E49" s="70"/>
      <c r="F49" s="87" t="s">
        <v>3</v>
      </c>
      <c r="G49" s="72">
        <f>SUM(G50)</f>
        <v>58103.66</v>
      </c>
      <c r="H49" s="73">
        <f>913+400+946+65160+886+2657</f>
        <v>70962</v>
      </c>
      <c r="I49" s="72">
        <f>SUM(I50:I50)</f>
        <v>74634.039999999994</v>
      </c>
      <c r="J49" s="58">
        <f t="shared" si="4"/>
        <v>128.44980849743371</v>
      </c>
      <c r="K49" s="58">
        <f t="shared" si="5"/>
        <v>105.17465685860037</v>
      </c>
      <c r="L49" s="9"/>
      <c r="M49" s="39"/>
      <c r="N49" s="40"/>
    </row>
    <row r="50" spans="2:14" s="11" customFormat="1" ht="24.95" customHeight="1">
      <c r="B50" s="84"/>
      <c r="C50" s="86"/>
      <c r="D50" s="70"/>
      <c r="E50" s="70">
        <v>3132</v>
      </c>
      <c r="F50" s="87" t="s">
        <v>23</v>
      </c>
      <c r="G50" s="72">
        <v>58103.66</v>
      </c>
      <c r="H50" s="73"/>
      <c r="I50" s="72">
        <v>74634.039999999994</v>
      </c>
      <c r="J50" s="58">
        <f t="shared" si="4"/>
        <v>128.44980849743371</v>
      </c>
      <c r="K50" s="58"/>
      <c r="L50" s="9"/>
      <c r="M50" s="39"/>
      <c r="N50" s="40"/>
    </row>
    <row r="51" spans="2:14" s="10" customFormat="1" ht="24.95" customHeight="1">
      <c r="B51" s="84"/>
      <c r="C51" s="79">
        <v>32</v>
      </c>
      <c r="D51" s="70"/>
      <c r="E51" s="70"/>
      <c r="F51" s="87" t="s">
        <v>4</v>
      </c>
      <c r="G51" s="72">
        <f>G52+G56+G62+G73+G71</f>
        <v>165347.03</v>
      </c>
      <c r="H51" s="73">
        <f>SUM(H52,H56,H62,H73,H71)</f>
        <v>178605</v>
      </c>
      <c r="I51" s="72">
        <f>SUM(I52,I56,I62,I73,I71)</f>
        <v>191105.52000000002</v>
      </c>
      <c r="J51" s="58">
        <f t="shared" si="4"/>
        <v>115.57844129404684</v>
      </c>
      <c r="K51" s="58">
        <f t="shared" si="5"/>
        <v>106.99897539262619</v>
      </c>
      <c r="L51" s="9"/>
      <c r="M51" s="39"/>
      <c r="N51" s="40"/>
    </row>
    <row r="52" spans="2:14" s="11" customFormat="1" ht="24.95" customHeight="1">
      <c r="B52" s="84"/>
      <c r="C52" s="86"/>
      <c r="D52" s="70">
        <v>321</v>
      </c>
      <c r="E52" s="70"/>
      <c r="F52" s="87" t="s">
        <v>5</v>
      </c>
      <c r="G52" s="72">
        <f>G53+G54+G55</f>
        <v>48831.7</v>
      </c>
      <c r="H52" s="73">
        <f>540+200+579+2000+42500+800+518+1555</f>
        <v>48692</v>
      </c>
      <c r="I52" s="72">
        <f>I53+I54+I55</f>
        <v>49736.32</v>
      </c>
      <c r="J52" s="58">
        <f t="shared" si="4"/>
        <v>101.8525261254472</v>
      </c>
      <c r="K52" s="58">
        <f t="shared" si="5"/>
        <v>102.14474657027847</v>
      </c>
      <c r="L52" s="9"/>
      <c r="M52" s="39"/>
      <c r="N52" s="40"/>
    </row>
    <row r="53" spans="2:14" s="11" customFormat="1" ht="24.95" customHeight="1">
      <c r="B53" s="84"/>
      <c r="C53" s="86"/>
      <c r="D53" s="70"/>
      <c r="E53" s="70" t="s">
        <v>24</v>
      </c>
      <c r="F53" s="87" t="s">
        <v>25</v>
      </c>
      <c r="G53" s="72">
        <v>4522.16</v>
      </c>
      <c r="H53" s="73"/>
      <c r="I53" s="72">
        <v>2218.63</v>
      </c>
      <c r="J53" s="58">
        <f t="shared" si="4"/>
        <v>49.061289295380973</v>
      </c>
      <c r="K53" s="58"/>
      <c r="L53" s="9"/>
      <c r="M53" s="39"/>
      <c r="N53" s="40"/>
    </row>
    <row r="54" spans="2:14" s="10" customFormat="1" ht="24.95" customHeight="1">
      <c r="B54" s="84"/>
      <c r="C54" s="86"/>
      <c r="D54" s="70"/>
      <c r="E54" s="70" t="s">
        <v>26</v>
      </c>
      <c r="F54" s="87" t="s">
        <v>6</v>
      </c>
      <c r="G54" s="72">
        <v>43933.54</v>
      </c>
      <c r="H54" s="73"/>
      <c r="I54" s="72">
        <v>47517.69</v>
      </c>
      <c r="J54" s="58">
        <f t="shared" si="4"/>
        <v>108.15811792084136</v>
      </c>
      <c r="K54" s="58"/>
      <c r="L54" s="9"/>
      <c r="M54" s="39"/>
      <c r="N54" s="40"/>
    </row>
    <row r="55" spans="2:14" s="11" customFormat="1" ht="24.95" customHeight="1">
      <c r="B55" s="84"/>
      <c r="C55" s="86"/>
      <c r="D55" s="70"/>
      <c r="E55" s="70">
        <v>3213</v>
      </c>
      <c r="F55" s="87" t="s">
        <v>47</v>
      </c>
      <c r="G55" s="72">
        <v>376</v>
      </c>
      <c r="H55" s="73"/>
      <c r="I55" s="72">
        <v>0</v>
      </c>
      <c r="J55" s="58">
        <f t="shared" si="4"/>
        <v>0</v>
      </c>
      <c r="K55" s="58"/>
      <c r="L55" s="9"/>
      <c r="M55" s="39"/>
      <c r="N55" s="40"/>
    </row>
    <row r="56" spans="2:14" s="11" customFormat="1" ht="24.95" customHeight="1">
      <c r="B56" s="84"/>
      <c r="C56" s="86"/>
      <c r="D56" s="70">
        <v>322</v>
      </c>
      <c r="E56" s="70"/>
      <c r="F56" s="87" t="s">
        <v>7</v>
      </c>
      <c r="G56" s="72">
        <f>SUM(G57:G61)</f>
        <v>31524.950000000004</v>
      </c>
      <c r="H56" s="73">
        <f>117+728+8300+2200+18500</f>
        <v>29845</v>
      </c>
      <c r="I56" s="72">
        <f>SUM(I57:I61)</f>
        <v>27874.420000000002</v>
      </c>
      <c r="J56" s="58">
        <f t="shared" si="4"/>
        <v>88.420187819489001</v>
      </c>
      <c r="K56" s="58">
        <f t="shared" si="5"/>
        <v>93.397285977550681</v>
      </c>
      <c r="L56" s="9"/>
      <c r="M56" s="39"/>
      <c r="N56" s="40"/>
    </row>
    <row r="57" spans="2:14" s="10" customFormat="1" ht="24.95" customHeight="1">
      <c r="B57" s="84"/>
      <c r="C57" s="86"/>
      <c r="D57" s="70"/>
      <c r="E57" s="70" t="s">
        <v>27</v>
      </c>
      <c r="F57" s="87" t="s">
        <v>8</v>
      </c>
      <c r="G57" s="72">
        <v>3552.43</v>
      </c>
      <c r="H57" s="73"/>
      <c r="I57" s="72">
        <v>2163.52</v>
      </c>
      <c r="J57" s="58">
        <f t="shared" si="4"/>
        <v>60.902537136551601</v>
      </c>
      <c r="K57" s="58"/>
      <c r="L57" s="9"/>
      <c r="M57" s="39"/>
      <c r="N57" s="40"/>
    </row>
    <row r="58" spans="2:14" s="10" customFormat="1" ht="24.95" customHeight="1">
      <c r="B58" s="84"/>
      <c r="C58" s="86"/>
      <c r="D58" s="70"/>
      <c r="E58" s="70">
        <v>3222</v>
      </c>
      <c r="F58" s="87" t="s">
        <v>48</v>
      </c>
      <c r="G58" s="72">
        <v>19198.75</v>
      </c>
      <c r="H58" s="73"/>
      <c r="I58" s="72">
        <v>18703.45</v>
      </c>
      <c r="J58" s="58">
        <f t="shared" si="4"/>
        <v>97.420144540660203</v>
      </c>
      <c r="K58" s="58"/>
      <c r="L58" s="9"/>
      <c r="M58" s="39"/>
      <c r="N58" s="40"/>
    </row>
    <row r="59" spans="2:14" s="10" customFormat="1" ht="24.95" customHeight="1">
      <c r="B59" s="84"/>
      <c r="C59" s="86"/>
      <c r="D59" s="70"/>
      <c r="E59" s="70" t="s">
        <v>28</v>
      </c>
      <c r="F59" s="87" t="s">
        <v>29</v>
      </c>
      <c r="G59" s="72">
        <v>7241.06</v>
      </c>
      <c r="H59" s="73"/>
      <c r="I59" s="72">
        <v>3933.64</v>
      </c>
      <c r="J59" s="58">
        <f t="shared" si="4"/>
        <v>54.32409067180771</v>
      </c>
      <c r="K59" s="58"/>
      <c r="L59" s="9"/>
      <c r="M59" s="39"/>
      <c r="N59" s="40"/>
    </row>
    <row r="60" spans="2:14" s="10" customFormat="1" ht="24.95" customHeight="1">
      <c r="B60" s="84"/>
      <c r="C60" s="86"/>
      <c r="D60" s="70"/>
      <c r="E60" s="70" t="s">
        <v>30</v>
      </c>
      <c r="F60" s="87" t="s">
        <v>31</v>
      </c>
      <c r="G60" s="72">
        <v>216.81</v>
      </c>
      <c r="H60" s="73"/>
      <c r="I60" s="72">
        <v>1164.47</v>
      </c>
      <c r="J60" s="58">
        <f t="shared" si="4"/>
        <v>537.09238503759047</v>
      </c>
      <c r="K60" s="58"/>
      <c r="L60" s="9"/>
      <c r="M60" s="39"/>
      <c r="N60" s="40"/>
    </row>
    <row r="61" spans="2:14" s="11" customFormat="1" ht="24.95" customHeight="1">
      <c r="B61" s="84"/>
      <c r="C61" s="86"/>
      <c r="D61" s="70"/>
      <c r="E61" s="70">
        <v>3225</v>
      </c>
      <c r="F61" s="87" t="s">
        <v>49</v>
      </c>
      <c r="G61" s="72">
        <v>1315.9</v>
      </c>
      <c r="H61" s="73"/>
      <c r="I61" s="72">
        <v>1909.34</v>
      </c>
      <c r="J61" s="58">
        <f t="shared" si="4"/>
        <v>145.097651797249</v>
      </c>
      <c r="K61" s="58"/>
      <c r="L61" s="9"/>
      <c r="M61" s="39"/>
      <c r="N61" s="40"/>
    </row>
    <row r="62" spans="2:14" s="10" customFormat="1" ht="24.95" customHeight="1">
      <c r="B62" s="84"/>
      <c r="C62" s="86"/>
      <c r="D62" s="70">
        <v>323</v>
      </c>
      <c r="E62" s="70"/>
      <c r="F62" s="87" t="s">
        <v>9</v>
      </c>
      <c r="G62" s="72">
        <f>SUM(G63:G70)</f>
        <v>80734.62</v>
      </c>
      <c r="H62" s="73">
        <f>9343+66210+11126+7500</f>
        <v>94179</v>
      </c>
      <c r="I62" s="72">
        <f>SUM(I63:I70)</f>
        <v>109071.39</v>
      </c>
      <c r="J62" s="58">
        <f t="shared" si="4"/>
        <v>135.09866027733827</v>
      </c>
      <c r="K62" s="58">
        <f t="shared" si="5"/>
        <v>115.81285636925429</v>
      </c>
      <c r="L62" s="9"/>
      <c r="M62" s="39"/>
      <c r="N62" s="40"/>
    </row>
    <row r="63" spans="2:14" s="10" customFormat="1" ht="24.95" customHeight="1">
      <c r="B63" s="84"/>
      <c r="C63" s="86"/>
      <c r="D63" s="70"/>
      <c r="E63" s="70" t="s">
        <v>32</v>
      </c>
      <c r="F63" s="87" t="s">
        <v>33</v>
      </c>
      <c r="G63" s="72">
        <v>64628.56</v>
      </c>
      <c r="H63" s="73"/>
      <c r="I63" s="155">
        <v>74848.95</v>
      </c>
      <c r="J63" s="58">
        <f t="shared" si="4"/>
        <v>115.81404567887634</v>
      </c>
      <c r="K63" s="58"/>
      <c r="L63" s="9"/>
      <c r="M63" s="39"/>
      <c r="N63" s="40"/>
    </row>
    <row r="64" spans="2:14" s="10" customFormat="1" ht="24.95" customHeight="1">
      <c r="B64" s="84"/>
      <c r="C64" s="86"/>
      <c r="D64" s="70"/>
      <c r="E64" s="70" t="s">
        <v>34</v>
      </c>
      <c r="F64" s="87" t="s">
        <v>35</v>
      </c>
      <c r="G64" s="72">
        <v>1764.3</v>
      </c>
      <c r="H64" s="73"/>
      <c r="I64" s="155">
        <v>2038.13</v>
      </c>
      <c r="J64" s="58">
        <f t="shared" si="4"/>
        <v>115.5206030720399</v>
      </c>
      <c r="K64" s="58"/>
      <c r="L64" s="9"/>
      <c r="M64" s="39"/>
      <c r="N64" s="40"/>
    </row>
    <row r="65" spans="2:14" s="10" customFormat="1" ht="24.95" customHeight="1">
      <c r="B65" s="84"/>
      <c r="C65" s="86"/>
      <c r="D65" s="70"/>
      <c r="E65" s="70">
        <v>3233</v>
      </c>
      <c r="F65" s="87" t="s">
        <v>228</v>
      </c>
      <c r="G65" s="72">
        <v>0</v>
      </c>
      <c r="H65" s="73"/>
      <c r="I65" s="155">
        <f>48.01</f>
        <v>48.01</v>
      </c>
      <c r="J65" s="58"/>
      <c r="K65" s="58"/>
      <c r="L65" s="9"/>
      <c r="M65" s="39"/>
      <c r="N65" s="40"/>
    </row>
    <row r="66" spans="2:14" s="10" customFormat="1" ht="24.95" customHeight="1">
      <c r="B66" s="84"/>
      <c r="C66" s="86"/>
      <c r="D66" s="70"/>
      <c r="E66" s="70" t="s">
        <v>36</v>
      </c>
      <c r="F66" s="87" t="s">
        <v>37</v>
      </c>
      <c r="G66" s="72">
        <v>2836.2</v>
      </c>
      <c r="H66" s="73"/>
      <c r="I66" s="155">
        <v>3322.72</v>
      </c>
      <c r="J66" s="58">
        <f t="shared" si="4"/>
        <v>117.1539383682392</v>
      </c>
      <c r="K66" s="58"/>
      <c r="L66" s="9"/>
      <c r="M66" s="39"/>
      <c r="N66" s="40"/>
    </row>
    <row r="67" spans="2:14" s="11" customFormat="1" ht="24.95" customHeight="1">
      <c r="B67" s="84"/>
      <c r="C67" s="86"/>
      <c r="D67" s="70"/>
      <c r="E67" s="70">
        <v>3236</v>
      </c>
      <c r="F67" s="87" t="s">
        <v>229</v>
      </c>
      <c r="G67" s="72">
        <v>0</v>
      </c>
      <c r="H67" s="73"/>
      <c r="I67" s="155">
        <v>2073.16</v>
      </c>
      <c r="J67" s="58"/>
      <c r="K67" s="58"/>
      <c r="L67" s="9"/>
      <c r="M67" s="39"/>
      <c r="N67" s="40"/>
    </row>
    <row r="68" spans="2:14" s="10" customFormat="1" ht="24.95" customHeight="1">
      <c r="B68" s="84"/>
      <c r="C68" s="86"/>
      <c r="D68" s="70"/>
      <c r="E68" s="70">
        <v>3237</v>
      </c>
      <c r="F68" s="87" t="s">
        <v>50</v>
      </c>
      <c r="G68" s="72">
        <v>1791.67</v>
      </c>
      <c r="H68" s="73"/>
      <c r="I68" s="155">
        <v>13685.05</v>
      </c>
      <c r="J68" s="58">
        <f t="shared" si="4"/>
        <v>763.81532313428249</v>
      </c>
      <c r="K68" s="58"/>
      <c r="L68" s="9"/>
      <c r="M68" s="39"/>
      <c r="N68" s="40"/>
    </row>
    <row r="69" spans="2:14" s="10" customFormat="1" ht="24.95" customHeight="1">
      <c r="B69" s="84"/>
      <c r="C69" s="86"/>
      <c r="D69" s="70"/>
      <c r="E69" s="70" t="s">
        <v>38</v>
      </c>
      <c r="F69" s="87" t="s">
        <v>39</v>
      </c>
      <c r="G69" s="72">
        <v>1670.31</v>
      </c>
      <c r="H69" s="73"/>
      <c r="I69" s="155">
        <v>2251.5100000000002</v>
      </c>
      <c r="J69" s="58">
        <f t="shared" si="4"/>
        <v>134.79593608372099</v>
      </c>
      <c r="K69" s="58"/>
      <c r="L69" s="9"/>
      <c r="M69" s="39"/>
      <c r="N69" s="40"/>
    </row>
    <row r="70" spans="2:14" s="10" customFormat="1" ht="24.95" customHeight="1">
      <c r="B70" s="84"/>
      <c r="C70" s="86"/>
      <c r="D70" s="70"/>
      <c r="E70" s="70" t="s">
        <v>40</v>
      </c>
      <c r="F70" s="87" t="s">
        <v>10</v>
      </c>
      <c r="G70" s="72">
        <v>8043.58</v>
      </c>
      <c r="H70" s="73"/>
      <c r="I70" s="155">
        <v>10803.86</v>
      </c>
      <c r="J70" s="58">
        <f t="shared" si="4"/>
        <v>134.31656053647754</v>
      </c>
      <c r="K70" s="58"/>
      <c r="L70" s="9"/>
      <c r="M70" s="39"/>
      <c r="N70" s="40"/>
    </row>
    <row r="71" spans="2:14" s="10" customFormat="1" ht="24.95" customHeight="1">
      <c r="B71" s="84"/>
      <c r="C71" s="86"/>
      <c r="D71" s="70">
        <v>324</v>
      </c>
      <c r="E71" s="70"/>
      <c r="F71" s="87" t="s">
        <v>201</v>
      </c>
      <c r="G71" s="72">
        <f>G72</f>
        <v>804</v>
      </c>
      <c r="H71" s="73">
        <v>600</v>
      </c>
      <c r="I71" s="155">
        <f>I72</f>
        <v>720</v>
      </c>
      <c r="J71" s="58">
        <f t="shared" si="4"/>
        <v>89.552238805970148</v>
      </c>
      <c r="K71" s="58">
        <f t="shared" si="5"/>
        <v>120</v>
      </c>
      <c r="L71" s="9"/>
      <c r="M71" s="39"/>
      <c r="N71" s="40"/>
    </row>
    <row r="72" spans="2:14" s="10" customFormat="1" ht="24.95" customHeight="1">
      <c r="B72" s="84"/>
      <c r="C72" s="86"/>
      <c r="D72" s="70"/>
      <c r="E72" s="70">
        <v>3241</v>
      </c>
      <c r="F72" s="87" t="s">
        <v>201</v>
      </c>
      <c r="G72" s="72">
        <f>804</f>
        <v>804</v>
      </c>
      <c r="H72" s="73"/>
      <c r="I72" s="155">
        <v>720</v>
      </c>
      <c r="J72" s="58">
        <f t="shared" si="4"/>
        <v>89.552238805970148</v>
      </c>
      <c r="K72" s="58"/>
      <c r="L72" s="9"/>
      <c r="M72" s="39"/>
      <c r="N72" s="40"/>
    </row>
    <row r="73" spans="2:14" s="10" customFormat="1" ht="24.95" customHeight="1">
      <c r="B73" s="84"/>
      <c r="C73" s="86"/>
      <c r="D73" s="70">
        <v>329</v>
      </c>
      <c r="E73" s="70"/>
      <c r="F73" s="87" t="s">
        <v>11</v>
      </c>
      <c r="G73" s="72">
        <f>SUM(G74:G78)</f>
        <v>3451.76</v>
      </c>
      <c r="H73" s="73">
        <f>395+410+500+980+500+2504</f>
        <v>5289</v>
      </c>
      <c r="I73" s="72">
        <f>SUM(I74:I78)</f>
        <v>3703.3900000000003</v>
      </c>
      <c r="J73" s="58">
        <f t="shared" si="4"/>
        <v>107.28990428071477</v>
      </c>
      <c r="K73" s="58">
        <f t="shared" si="5"/>
        <v>70.020608810739276</v>
      </c>
      <c r="L73" s="9"/>
      <c r="M73" s="39"/>
      <c r="N73" s="40"/>
    </row>
    <row r="74" spans="2:14" s="10" customFormat="1" ht="24.95" customHeight="1">
      <c r="B74" s="84"/>
      <c r="C74" s="86"/>
      <c r="D74" s="70"/>
      <c r="E74" s="70">
        <v>3292</v>
      </c>
      <c r="F74" s="87" t="s">
        <v>202</v>
      </c>
      <c r="G74" s="72">
        <v>361.06</v>
      </c>
      <c r="H74" s="73"/>
      <c r="I74" s="72">
        <v>215</v>
      </c>
      <c r="J74" s="58">
        <f t="shared" si="4"/>
        <v>59.546889713621013</v>
      </c>
      <c r="K74" s="58"/>
      <c r="L74" s="9"/>
      <c r="M74" s="39"/>
      <c r="N74" s="40"/>
    </row>
    <row r="75" spans="2:14" s="10" customFormat="1" ht="24.95" customHeight="1">
      <c r="B75" s="84"/>
      <c r="C75" s="86"/>
      <c r="D75" s="70"/>
      <c r="E75" s="70">
        <v>3293</v>
      </c>
      <c r="F75" s="87" t="s">
        <v>203</v>
      </c>
      <c r="G75" s="72">
        <v>59.5</v>
      </c>
      <c r="H75" s="73"/>
      <c r="I75" s="72">
        <v>374.7</v>
      </c>
      <c r="J75" s="58">
        <f t="shared" si="4"/>
        <v>629.7478991596638</v>
      </c>
      <c r="K75" s="58"/>
      <c r="L75" s="9"/>
      <c r="M75" s="39"/>
      <c r="N75" s="40"/>
    </row>
    <row r="76" spans="2:14" s="11" customFormat="1" ht="24.95" customHeight="1">
      <c r="B76" s="84"/>
      <c r="C76" s="86"/>
      <c r="D76" s="70"/>
      <c r="E76" s="70">
        <v>3294</v>
      </c>
      <c r="F76" s="87" t="s">
        <v>51</v>
      </c>
      <c r="G76" s="72">
        <v>53.09</v>
      </c>
      <c r="H76" s="73"/>
      <c r="I76" s="72">
        <v>53.09</v>
      </c>
      <c r="J76" s="58">
        <f t="shared" si="4"/>
        <v>100</v>
      </c>
      <c r="K76" s="58"/>
      <c r="L76" s="9"/>
      <c r="M76" s="39"/>
      <c r="N76" s="40"/>
    </row>
    <row r="77" spans="2:14" s="10" customFormat="1" ht="24.95" customHeight="1">
      <c r="B77" s="84"/>
      <c r="C77" s="86"/>
      <c r="D77" s="70"/>
      <c r="E77" s="70">
        <v>3295</v>
      </c>
      <c r="F77" s="87" t="s">
        <v>41</v>
      </c>
      <c r="G77" s="72">
        <v>1675.39</v>
      </c>
      <c r="H77" s="73"/>
      <c r="I77" s="72">
        <v>2021.18</v>
      </c>
      <c r="J77" s="58">
        <f t="shared" si="4"/>
        <v>120.63937351900154</v>
      </c>
      <c r="K77" s="58"/>
      <c r="L77" s="9"/>
      <c r="M77" s="39"/>
      <c r="N77" s="40"/>
    </row>
    <row r="78" spans="2:14" s="11" customFormat="1" ht="24.95" customHeight="1">
      <c r="B78" s="84"/>
      <c r="C78" s="86"/>
      <c r="D78" s="70"/>
      <c r="E78" s="70" t="s">
        <v>42</v>
      </c>
      <c r="F78" s="87" t="s">
        <v>11</v>
      </c>
      <c r="G78" s="72">
        <v>1302.72</v>
      </c>
      <c r="H78" s="73"/>
      <c r="I78" s="72">
        <v>1039.42</v>
      </c>
      <c r="J78" s="58">
        <f t="shared" si="4"/>
        <v>79.788442643085247</v>
      </c>
      <c r="K78" s="58"/>
      <c r="L78" s="9"/>
      <c r="M78" s="39"/>
      <c r="N78" s="40"/>
    </row>
    <row r="79" spans="2:14" s="10" customFormat="1" ht="40.5" customHeight="1">
      <c r="B79" s="84"/>
      <c r="C79" s="79">
        <v>34</v>
      </c>
      <c r="D79" s="63"/>
      <c r="E79" s="70"/>
      <c r="F79" s="87" t="s">
        <v>12</v>
      </c>
      <c r="G79" s="72">
        <f>SUM(G80)</f>
        <v>354.9</v>
      </c>
      <c r="H79" s="73">
        <f>H80</f>
        <v>500</v>
      </c>
      <c r="I79" s="72">
        <f>SUM(I80)</f>
        <v>500.01</v>
      </c>
      <c r="J79" s="58">
        <f t="shared" si="4"/>
        <v>140.88757396449705</v>
      </c>
      <c r="K79" s="58">
        <f t="shared" si="5"/>
        <v>100.002</v>
      </c>
      <c r="L79" s="9"/>
      <c r="M79" s="39"/>
      <c r="N79" s="40"/>
    </row>
    <row r="80" spans="2:14" s="10" customFormat="1" ht="33.75" customHeight="1">
      <c r="B80" s="84"/>
      <c r="C80" s="86"/>
      <c r="D80" s="70">
        <v>343</v>
      </c>
      <c r="E80" s="70"/>
      <c r="F80" s="87" t="s">
        <v>13</v>
      </c>
      <c r="G80" s="72">
        <f>SUM(G81:G82)</f>
        <v>354.9</v>
      </c>
      <c r="H80" s="73">
        <f>500</f>
        <v>500</v>
      </c>
      <c r="I80" s="72">
        <f>I81+I82</f>
        <v>500.01</v>
      </c>
      <c r="J80" s="58">
        <f t="shared" si="4"/>
        <v>140.88757396449705</v>
      </c>
      <c r="K80" s="58">
        <f t="shared" si="5"/>
        <v>100.002</v>
      </c>
      <c r="L80" s="9"/>
      <c r="M80" s="39"/>
      <c r="N80" s="40"/>
    </row>
    <row r="81" spans="2:14" s="10" customFormat="1" ht="24.95" customHeight="1">
      <c r="B81" s="84"/>
      <c r="C81" s="86"/>
      <c r="D81" s="70"/>
      <c r="E81" s="70" t="s">
        <v>43</v>
      </c>
      <c r="F81" s="87" t="s">
        <v>44</v>
      </c>
      <c r="G81" s="72">
        <v>328.68</v>
      </c>
      <c r="H81" s="73"/>
      <c r="I81" s="72">
        <v>500</v>
      </c>
      <c r="J81" s="58">
        <f t="shared" si="4"/>
        <v>152.12364609954972</v>
      </c>
      <c r="K81" s="58"/>
      <c r="L81" s="9"/>
      <c r="M81" s="39"/>
      <c r="N81" s="40"/>
    </row>
    <row r="82" spans="2:14" s="10" customFormat="1" ht="24.95" customHeight="1">
      <c r="B82" s="84"/>
      <c r="C82" s="86"/>
      <c r="D82" s="70"/>
      <c r="E82" s="70">
        <v>3433</v>
      </c>
      <c r="F82" s="87" t="s">
        <v>204</v>
      </c>
      <c r="G82" s="72">
        <v>26.22</v>
      </c>
      <c r="H82" s="73"/>
      <c r="I82" s="72">
        <v>0.01</v>
      </c>
      <c r="J82" s="58">
        <f t="shared" si="4"/>
        <v>3.8138825324180017E-2</v>
      </c>
      <c r="K82" s="58"/>
      <c r="L82" s="9"/>
      <c r="M82" s="39"/>
      <c r="N82" s="40"/>
    </row>
    <row r="83" spans="2:14" s="10" customFormat="1" ht="24.95" customHeight="1">
      <c r="B83" s="84"/>
      <c r="C83" s="79">
        <v>37</v>
      </c>
      <c r="D83" s="70"/>
      <c r="E83" s="70"/>
      <c r="F83" s="87" t="s">
        <v>135</v>
      </c>
      <c r="G83" s="72">
        <f>G84</f>
        <v>6920.55</v>
      </c>
      <c r="H83" s="72">
        <f>H84</f>
        <v>7141</v>
      </c>
      <c r="I83" s="72">
        <f>I84</f>
        <v>7140.35</v>
      </c>
      <c r="J83" s="58">
        <f t="shared" si="4"/>
        <v>103.17604814646235</v>
      </c>
      <c r="K83" s="58">
        <f t="shared" si="5"/>
        <v>99.990897633384691</v>
      </c>
      <c r="L83" s="9"/>
      <c r="M83" s="39"/>
      <c r="N83" s="40"/>
    </row>
    <row r="84" spans="2:14" s="10" customFormat="1" ht="24.95" customHeight="1">
      <c r="B84" s="84"/>
      <c r="C84" s="86"/>
      <c r="D84" s="70">
        <v>372</v>
      </c>
      <c r="E84" s="70"/>
      <c r="F84" s="87" t="s">
        <v>136</v>
      </c>
      <c r="G84" s="72">
        <f>G85</f>
        <v>6920.55</v>
      </c>
      <c r="H84" s="72">
        <f>7141</f>
        <v>7141</v>
      </c>
      <c r="I84" s="72">
        <f>I85</f>
        <v>7140.35</v>
      </c>
      <c r="J84" s="58">
        <f t="shared" si="4"/>
        <v>103.17604814646235</v>
      </c>
      <c r="K84" s="58">
        <f t="shared" si="5"/>
        <v>99.990897633384691</v>
      </c>
      <c r="L84" s="9"/>
      <c r="M84" s="39"/>
      <c r="N84" s="40"/>
    </row>
    <row r="85" spans="2:14" s="10" customFormat="1" ht="24.95" customHeight="1">
      <c r="B85" s="84"/>
      <c r="C85" s="86"/>
      <c r="D85" s="70"/>
      <c r="E85" s="70">
        <v>3722</v>
      </c>
      <c r="F85" s="87" t="s">
        <v>54</v>
      </c>
      <c r="G85" s="72">
        <v>6920.55</v>
      </c>
      <c r="H85" s="73"/>
      <c r="I85" s="72">
        <v>7140.35</v>
      </c>
      <c r="J85" s="58">
        <f t="shared" si="4"/>
        <v>103.17604814646235</v>
      </c>
      <c r="K85" s="58"/>
      <c r="L85" s="9"/>
      <c r="M85" s="39"/>
      <c r="N85" s="40"/>
    </row>
    <row r="86" spans="2:14" s="11" customFormat="1" ht="24.95" customHeight="1">
      <c r="B86" s="84"/>
      <c r="C86" s="88">
        <v>38</v>
      </c>
      <c r="D86" s="70"/>
      <c r="E86" s="70"/>
      <c r="F86" s="87" t="s">
        <v>137</v>
      </c>
      <c r="G86" s="72">
        <f>G87</f>
        <v>182.86</v>
      </c>
      <c r="H86" s="73">
        <f>H87</f>
        <v>185</v>
      </c>
      <c r="I86" s="72">
        <f>I87</f>
        <v>184.5</v>
      </c>
      <c r="J86" s="58">
        <f t="shared" si="4"/>
        <v>100.89686098654708</v>
      </c>
      <c r="K86" s="58">
        <f t="shared" si="5"/>
        <v>99.729729729729726</v>
      </c>
      <c r="L86" s="9"/>
      <c r="M86" s="39"/>
      <c r="N86" s="40"/>
    </row>
    <row r="87" spans="2:14" s="11" customFormat="1" ht="24.95" customHeight="1">
      <c r="B87" s="84"/>
      <c r="C87" s="86"/>
      <c r="D87" s="89">
        <v>381</v>
      </c>
      <c r="E87" s="89"/>
      <c r="F87" s="90" t="s">
        <v>59</v>
      </c>
      <c r="G87" s="91">
        <f>G88</f>
        <v>182.86</v>
      </c>
      <c r="H87" s="92">
        <v>185</v>
      </c>
      <c r="I87" s="91">
        <f>I88</f>
        <v>184.5</v>
      </c>
      <c r="J87" s="58">
        <f t="shared" si="4"/>
        <v>100.89686098654708</v>
      </c>
      <c r="K87" s="58">
        <f t="shared" si="5"/>
        <v>99.729729729729726</v>
      </c>
      <c r="L87" s="9"/>
      <c r="M87" s="39"/>
      <c r="N87" s="40"/>
    </row>
    <row r="88" spans="2:14" s="10" customFormat="1" ht="24.95" customHeight="1">
      <c r="B88" s="84"/>
      <c r="C88" s="63"/>
      <c r="D88" s="89"/>
      <c r="E88" s="89">
        <v>3812</v>
      </c>
      <c r="F88" s="90" t="s">
        <v>138</v>
      </c>
      <c r="G88" s="91">
        <v>182.86</v>
      </c>
      <c r="H88" s="92"/>
      <c r="I88" s="91">
        <v>184.5</v>
      </c>
      <c r="J88" s="58">
        <f t="shared" si="4"/>
        <v>100.89686098654708</v>
      </c>
      <c r="K88" s="58"/>
      <c r="L88" s="9"/>
      <c r="M88" s="39"/>
      <c r="N88" s="40"/>
    </row>
    <row r="89" spans="2:14" s="10" customFormat="1" ht="24.95" customHeight="1">
      <c r="B89" s="93">
        <v>4</v>
      </c>
      <c r="C89" s="94"/>
      <c r="D89" s="95"/>
      <c r="E89" s="95"/>
      <c r="F89" s="85" t="s">
        <v>139</v>
      </c>
      <c r="G89" s="227">
        <f>G90+G95</f>
        <v>29884.9</v>
      </c>
      <c r="H89" s="228">
        <f>H90+H95</f>
        <v>41700</v>
      </c>
      <c r="I89" s="227">
        <f>I90+I95</f>
        <v>38654.78</v>
      </c>
      <c r="J89" s="58">
        <f t="shared" si="4"/>
        <v>129.34552232063683</v>
      </c>
      <c r="K89" s="58">
        <f t="shared" si="5"/>
        <v>92.697314148681059</v>
      </c>
      <c r="L89" s="9"/>
      <c r="M89" s="39"/>
      <c r="N89" s="40"/>
    </row>
    <row r="90" spans="2:14" s="10" customFormat="1" ht="24.95" customHeight="1">
      <c r="B90" s="84"/>
      <c r="C90" s="70">
        <v>42</v>
      </c>
      <c r="D90" s="70"/>
      <c r="E90" s="70"/>
      <c r="F90" s="87" t="s">
        <v>15</v>
      </c>
      <c r="G90" s="72">
        <f>G91+G93</f>
        <v>5823.01</v>
      </c>
      <c r="H90" s="73">
        <f>H91+H93</f>
        <v>9200</v>
      </c>
      <c r="I90" s="72">
        <f>I91+I93</f>
        <v>6154.78</v>
      </c>
      <c r="J90" s="58">
        <f t="shared" si="4"/>
        <v>105.69756878315511</v>
      </c>
      <c r="K90" s="58">
        <f t="shared" si="5"/>
        <v>66.899782608695645</v>
      </c>
      <c r="L90" s="9"/>
      <c r="M90" s="39"/>
      <c r="N90" s="40"/>
    </row>
    <row r="91" spans="2:14" s="11" customFormat="1" ht="24.95" customHeight="1">
      <c r="B91" s="84"/>
      <c r="C91" s="63"/>
      <c r="D91" s="70">
        <v>422</v>
      </c>
      <c r="E91" s="70"/>
      <c r="F91" s="87" t="s">
        <v>14</v>
      </c>
      <c r="G91" s="72">
        <f>SUM(G92:G92)</f>
        <v>0</v>
      </c>
      <c r="H91" s="73">
        <v>0</v>
      </c>
      <c r="I91" s="72">
        <f>SUM(I92:I92)</f>
        <v>1399</v>
      </c>
      <c r="J91" s="58"/>
      <c r="K91" s="58"/>
      <c r="L91" s="9"/>
      <c r="M91" s="39"/>
      <c r="N91" s="40"/>
    </row>
    <row r="92" spans="2:14" s="11" customFormat="1" ht="24.95" customHeight="1">
      <c r="B92" s="84"/>
      <c r="C92" s="63"/>
      <c r="D92" s="70"/>
      <c r="E92" s="70">
        <v>4221</v>
      </c>
      <c r="F92" s="87" t="s">
        <v>187</v>
      </c>
      <c r="G92" s="72">
        <v>0</v>
      </c>
      <c r="H92" s="73"/>
      <c r="I92" s="72">
        <v>1399</v>
      </c>
      <c r="J92" s="58"/>
      <c r="K92" s="58"/>
      <c r="L92" s="9"/>
      <c r="M92" s="39"/>
      <c r="N92" s="40"/>
    </row>
    <row r="93" spans="2:14" s="10" customFormat="1" ht="24.95" customHeight="1">
      <c r="B93" s="84"/>
      <c r="C93" s="63"/>
      <c r="D93" s="70">
        <v>424</v>
      </c>
      <c r="E93" s="70"/>
      <c r="F93" s="87" t="s">
        <v>52</v>
      </c>
      <c r="G93" s="72">
        <f>G94</f>
        <v>5823.01</v>
      </c>
      <c r="H93" s="73">
        <f>2500+5500+1200</f>
        <v>9200</v>
      </c>
      <c r="I93" s="72">
        <f>I94</f>
        <v>4755.78</v>
      </c>
      <c r="J93" s="58">
        <f t="shared" si="4"/>
        <v>81.672193590600045</v>
      </c>
      <c r="K93" s="58">
        <f t="shared" si="5"/>
        <v>51.693260869565215</v>
      </c>
      <c r="L93" s="9"/>
      <c r="M93" s="39"/>
      <c r="N93" s="40"/>
    </row>
    <row r="94" spans="2:14" s="10" customFormat="1" ht="24.95" customHeight="1">
      <c r="B94" s="94"/>
      <c r="C94" s="63"/>
      <c r="D94" s="70"/>
      <c r="E94" s="70">
        <v>4241</v>
      </c>
      <c r="F94" s="87" t="s">
        <v>53</v>
      </c>
      <c r="G94" s="72">
        <v>5823.01</v>
      </c>
      <c r="H94" s="73"/>
      <c r="I94" s="72">
        <v>4755.78</v>
      </c>
      <c r="J94" s="58">
        <f t="shared" si="4"/>
        <v>81.672193590600045</v>
      </c>
      <c r="K94" s="58"/>
      <c r="L94" s="9"/>
      <c r="M94" s="39"/>
      <c r="N94" s="40"/>
    </row>
    <row r="95" spans="2:14" s="10" customFormat="1" ht="24.95" customHeight="1">
      <c r="B95" s="94"/>
      <c r="C95" s="70">
        <v>45</v>
      </c>
      <c r="D95" s="70"/>
      <c r="E95" s="70"/>
      <c r="F95" s="87" t="s">
        <v>57</v>
      </c>
      <c r="G95" s="72">
        <f>G96</f>
        <v>24061.89</v>
      </c>
      <c r="H95" s="73">
        <f>H96</f>
        <v>32500</v>
      </c>
      <c r="I95" s="72">
        <f>I96</f>
        <v>32500</v>
      </c>
      <c r="J95" s="58">
        <f t="shared" si="4"/>
        <v>135.0683591355459</v>
      </c>
      <c r="K95" s="58">
        <f t="shared" si="5"/>
        <v>100</v>
      </c>
      <c r="L95" s="9"/>
      <c r="M95" s="39"/>
      <c r="N95" s="40"/>
    </row>
    <row r="96" spans="2:14" s="10" customFormat="1" ht="24.95" customHeight="1">
      <c r="B96" s="96"/>
      <c r="C96" s="63"/>
      <c r="D96" s="70">
        <v>451</v>
      </c>
      <c r="E96" s="70"/>
      <c r="F96" s="87" t="s">
        <v>58</v>
      </c>
      <c r="G96" s="72">
        <f>G97</f>
        <v>24061.89</v>
      </c>
      <c r="H96" s="73">
        <v>32500</v>
      </c>
      <c r="I96" s="72">
        <f>I97</f>
        <v>32500</v>
      </c>
      <c r="J96" s="58">
        <f t="shared" si="4"/>
        <v>135.0683591355459</v>
      </c>
      <c r="K96" s="58">
        <f t="shared" si="5"/>
        <v>100</v>
      </c>
      <c r="L96" s="9"/>
      <c r="M96" s="39"/>
      <c r="N96" s="40"/>
    </row>
    <row r="97" spans="2:14" s="10" customFormat="1" ht="24.95" customHeight="1">
      <c r="B97" s="96"/>
      <c r="C97" s="63"/>
      <c r="D97" s="70"/>
      <c r="E97" s="70">
        <v>4511</v>
      </c>
      <c r="F97" s="87" t="s">
        <v>58</v>
      </c>
      <c r="G97" s="72">
        <v>24061.89</v>
      </c>
      <c r="H97" s="73"/>
      <c r="I97" s="72">
        <v>32500</v>
      </c>
      <c r="J97" s="58">
        <f t="shared" si="4"/>
        <v>135.0683591355459</v>
      </c>
      <c r="K97" s="58"/>
      <c r="L97" s="9"/>
      <c r="M97" s="39"/>
      <c r="N97" s="40"/>
    </row>
    <row r="98" spans="2:14" s="10" customFormat="1" ht="20.25">
      <c r="C98" s="7"/>
      <c r="D98" s="7"/>
      <c r="E98" s="7"/>
      <c r="F98" s="7"/>
      <c r="G98" s="7"/>
      <c r="H98" s="7"/>
      <c r="I98" s="7"/>
      <c r="J98" s="7"/>
      <c r="K98" s="7"/>
      <c r="L98" s="9"/>
      <c r="M98" s="39"/>
      <c r="N98" s="40"/>
    </row>
    <row r="99" spans="2:14" s="10" customFormat="1">
      <c r="C99" s="1"/>
      <c r="D99" s="1"/>
      <c r="E99" s="1"/>
      <c r="F99" s="1"/>
      <c r="G99" s="1"/>
      <c r="H99" s="1"/>
      <c r="I99" s="1"/>
      <c r="J99" s="6"/>
      <c r="K99" s="6"/>
      <c r="L99" s="9"/>
      <c r="M99" s="39"/>
      <c r="N99" s="40"/>
    </row>
    <row r="100" spans="2:14" s="10" customFormat="1">
      <c r="B100" s="261" t="s">
        <v>61</v>
      </c>
      <c r="C100" s="262"/>
      <c r="D100" s="262"/>
      <c r="E100" s="262"/>
      <c r="F100" s="263"/>
      <c r="G100" s="267" t="s">
        <v>122</v>
      </c>
      <c r="H100" s="267" t="s">
        <v>177</v>
      </c>
      <c r="I100" s="267" t="s">
        <v>178</v>
      </c>
      <c r="J100" s="259" t="s">
        <v>62</v>
      </c>
      <c r="K100" s="259" t="s">
        <v>62</v>
      </c>
      <c r="L100" s="9"/>
      <c r="M100" s="39"/>
      <c r="N100" s="40"/>
    </row>
    <row r="101" spans="2:14" s="12" customFormat="1" ht="18.75">
      <c r="B101" s="264"/>
      <c r="C101" s="265"/>
      <c r="D101" s="265"/>
      <c r="E101" s="265"/>
      <c r="F101" s="266"/>
      <c r="G101" s="268"/>
      <c r="H101" s="268"/>
      <c r="I101" s="268"/>
      <c r="J101" s="259"/>
      <c r="K101" s="259"/>
      <c r="L101" s="9"/>
      <c r="M101" s="39"/>
      <c r="N101" s="40"/>
    </row>
    <row r="102" spans="2:14" s="9" customFormat="1">
      <c r="B102" s="134"/>
      <c r="C102" s="260">
        <v>1</v>
      </c>
      <c r="D102" s="260"/>
      <c r="E102" s="260"/>
      <c r="F102" s="260"/>
      <c r="G102" s="109">
        <v>2</v>
      </c>
      <c r="H102" s="109">
        <v>3</v>
      </c>
      <c r="I102" s="110">
        <v>4</v>
      </c>
      <c r="J102" s="135">
        <v>5</v>
      </c>
      <c r="K102" s="135">
        <v>6</v>
      </c>
    </row>
    <row r="103" spans="2:14" s="9" customFormat="1" ht="20.25">
      <c r="B103" s="84">
        <v>9</v>
      </c>
      <c r="C103" s="63"/>
      <c r="D103" s="70"/>
      <c r="E103" s="70"/>
      <c r="F103" s="136" t="s">
        <v>167</v>
      </c>
      <c r="G103" s="229">
        <f t="shared" ref="G103:I104" si="6">G104</f>
        <v>2360.91</v>
      </c>
      <c r="H103" s="229">
        <f>H104</f>
        <v>490</v>
      </c>
      <c r="I103" s="229">
        <f t="shared" si="6"/>
        <v>409.83</v>
      </c>
      <c r="J103" s="58">
        <f>I103/G103*100</f>
        <v>17.358984459382189</v>
      </c>
      <c r="K103" s="58">
        <f>I103/H103*100</f>
        <v>83.638775510204084</v>
      </c>
      <c r="M103" s="7"/>
    </row>
    <row r="104" spans="2:14">
      <c r="B104" s="63"/>
      <c r="C104" s="63">
        <v>92</v>
      </c>
      <c r="D104" s="70"/>
      <c r="E104" s="70"/>
      <c r="F104" s="71" t="s">
        <v>166</v>
      </c>
      <c r="G104" s="157">
        <f t="shared" si="6"/>
        <v>2360.91</v>
      </c>
      <c r="H104" s="157">
        <f>H105</f>
        <v>490</v>
      </c>
      <c r="I104" s="157">
        <f t="shared" si="6"/>
        <v>409.83</v>
      </c>
      <c r="J104" s="58">
        <f t="shared" ref="J104:J108" si="7">I104/G104*100</f>
        <v>17.358984459382189</v>
      </c>
      <c r="K104" s="58">
        <f t="shared" ref="K104:K108" si="8">I104/H104*100</f>
        <v>83.638775510204084</v>
      </c>
      <c r="L104" s="9"/>
    </row>
    <row r="105" spans="2:14">
      <c r="B105" s="63"/>
      <c r="C105" s="63"/>
      <c r="D105" s="70">
        <v>922</v>
      </c>
      <c r="E105" s="70"/>
      <c r="F105" s="71" t="s">
        <v>168</v>
      </c>
      <c r="G105" s="157">
        <f>G106</f>
        <v>2360.91</v>
      </c>
      <c r="H105" s="157">
        <f>H106</f>
        <v>490</v>
      </c>
      <c r="I105" s="157">
        <f>I106</f>
        <v>409.83</v>
      </c>
      <c r="J105" s="58">
        <f t="shared" si="7"/>
        <v>17.358984459382189</v>
      </c>
      <c r="K105" s="58">
        <f t="shared" si="8"/>
        <v>83.638775510204084</v>
      </c>
      <c r="L105" s="9"/>
    </row>
    <row r="106" spans="2:14">
      <c r="B106" s="63"/>
      <c r="C106" s="63"/>
      <c r="D106" s="70"/>
      <c r="E106" s="70">
        <v>9222</v>
      </c>
      <c r="F106" s="71" t="s">
        <v>183</v>
      </c>
      <c r="G106" s="157">
        <v>2360.91</v>
      </c>
      <c r="H106" s="157">
        <v>490</v>
      </c>
      <c r="I106" s="157">
        <v>409.83</v>
      </c>
      <c r="J106" s="58">
        <f t="shared" si="7"/>
        <v>17.358984459382189</v>
      </c>
      <c r="K106" s="58">
        <f t="shared" si="8"/>
        <v>83.638775510204084</v>
      </c>
      <c r="L106" s="9"/>
    </row>
    <row r="107" spans="2:14" ht="25.5">
      <c r="B107" s="63"/>
      <c r="C107" s="63"/>
      <c r="D107" s="70"/>
      <c r="E107" s="70"/>
      <c r="F107" s="71" t="s">
        <v>169</v>
      </c>
      <c r="G107" s="157">
        <f>G10</f>
        <v>635582.81000000006</v>
      </c>
      <c r="H107" s="157">
        <f>H10+H106</f>
        <v>759118</v>
      </c>
      <c r="I107" s="157">
        <f>I10</f>
        <v>786360.44000000006</v>
      </c>
      <c r="J107" s="58">
        <f t="shared" si="7"/>
        <v>123.72273567310607</v>
      </c>
      <c r="K107" s="58">
        <f t="shared" si="8"/>
        <v>103.58869635550731</v>
      </c>
      <c r="L107" s="9"/>
    </row>
    <row r="108" spans="2:14" ht="25.5">
      <c r="B108" s="63"/>
      <c r="C108" s="63"/>
      <c r="D108" s="70"/>
      <c r="E108" s="70"/>
      <c r="F108" s="71" t="s">
        <v>175</v>
      </c>
      <c r="G108" s="157">
        <f>G41</f>
        <v>637533.89000000013</v>
      </c>
      <c r="H108" s="157">
        <f>H41</f>
        <v>759038</v>
      </c>
      <c r="I108" s="157">
        <f>I41</f>
        <v>786922.84</v>
      </c>
      <c r="J108" s="58">
        <f t="shared" si="7"/>
        <v>123.43231510406447</v>
      </c>
      <c r="K108" s="58">
        <f t="shared" si="8"/>
        <v>103.67370803569781</v>
      </c>
      <c r="L108" s="9"/>
    </row>
    <row r="109" spans="2:14">
      <c r="B109" s="156"/>
      <c r="C109" s="156"/>
      <c r="D109" s="156"/>
      <c r="E109" s="156"/>
      <c r="F109" s="63" t="s">
        <v>188</v>
      </c>
      <c r="G109" s="158">
        <f>G107-G108</f>
        <v>-1951.0800000000745</v>
      </c>
      <c r="H109" s="159" t="s">
        <v>190</v>
      </c>
      <c r="I109" s="158">
        <f>I107-I108</f>
        <v>-562.39999999990687</v>
      </c>
      <c r="J109" s="58"/>
      <c r="K109" s="58"/>
    </row>
    <row r="110" spans="2:14">
      <c r="B110" s="156"/>
      <c r="C110" s="156"/>
      <c r="D110" s="156"/>
      <c r="E110" s="156"/>
      <c r="F110" s="63" t="s">
        <v>189</v>
      </c>
      <c r="G110" s="158">
        <f>G109+G106</f>
        <v>409.82999999992535</v>
      </c>
      <c r="H110" s="159" t="s">
        <v>190</v>
      </c>
      <c r="I110" s="158">
        <f>I109+I106</f>
        <v>-152.56999999990688</v>
      </c>
      <c r="J110" s="58"/>
      <c r="K110" s="58"/>
    </row>
  </sheetData>
  <mergeCells count="24">
    <mergeCell ref="B1:K1"/>
    <mergeCell ref="B3:K3"/>
    <mergeCell ref="B5:K5"/>
    <mergeCell ref="J38:J39"/>
    <mergeCell ref="K38:K39"/>
    <mergeCell ref="I38:I39"/>
    <mergeCell ref="K7:K8"/>
    <mergeCell ref="J7:J8"/>
    <mergeCell ref="C40:F40"/>
    <mergeCell ref="I7:I8"/>
    <mergeCell ref="G38:G39"/>
    <mergeCell ref="H38:H39"/>
    <mergeCell ref="G7:G8"/>
    <mergeCell ref="H7:H8"/>
    <mergeCell ref="B7:F8"/>
    <mergeCell ref="B38:F39"/>
    <mergeCell ref="B9:F9"/>
    <mergeCell ref="K100:K101"/>
    <mergeCell ref="C102:F102"/>
    <mergeCell ref="B100:F101"/>
    <mergeCell ref="G100:G101"/>
    <mergeCell ref="H100:H101"/>
    <mergeCell ref="I100:I101"/>
    <mergeCell ref="J100:J10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9" fitToHeight="4" orientation="landscape" r:id="rId1"/>
  <headerFooter alignWithMargins="0"/>
  <ignoredErrors>
    <ignoredError sqref="H7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I32"/>
  <sheetViews>
    <sheetView zoomScaleNormal="100" workbookViewId="0">
      <selection activeCell="B1" sqref="B1"/>
    </sheetView>
  </sheetViews>
  <sheetFormatPr defaultRowHeight="12.75"/>
  <cols>
    <col min="2" max="2" width="37.7109375" customWidth="1"/>
    <col min="3" max="5" width="25.28515625" customWidth="1"/>
    <col min="6" max="7" width="15.7109375" customWidth="1"/>
  </cols>
  <sheetData>
    <row r="1" spans="2:9" ht="18">
      <c r="B1" s="13"/>
      <c r="C1" s="13"/>
      <c r="D1" s="13"/>
      <c r="E1" s="14"/>
      <c r="F1" s="14"/>
      <c r="G1" s="14"/>
    </row>
    <row r="2" spans="2:9" ht="15.75" customHeight="1">
      <c r="B2" s="284" t="s">
        <v>60</v>
      </c>
      <c r="C2" s="284"/>
      <c r="D2" s="284"/>
      <c r="E2" s="284"/>
      <c r="F2" s="284"/>
      <c r="G2" s="284"/>
    </row>
    <row r="3" spans="2:9" ht="18">
      <c r="B3" s="13"/>
      <c r="C3" s="13"/>
      <c r="D3" s="13"/>
      <c r="E3" s="14"/>
      <c r="F3" s="14"/>
      <c r="G3" s="14"/>
    </row>
    <row r="4" spans="2:9" ht="25.5">
      <c r="B4" s="15" t="s">
        <v>61</v>
      </c>
      <c r="C4" s="15" t="s">
        <v>180</v>
      </c>
      <c r="D4" s="15" t="s">
        <v>177</v>
      </c>
      <c r="E4" s="15" t="s">
        <v>178</v>
      </c>
      <c r="F4" s="15" t="s">
        <v>62</v>
      </c>
      <c r="G4" s="15" t="s">
        <v>62</v>
      </c>
    </row>
    <row r="5" spans="2:9"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</row>
    <row r="6" spans="2:9">
      <c r="B6" s="16" t="s">
        <v>45</v>
      </c>
      <c r="C6" s="163">
        <f>C7+C9+C11+C15</f>
        <v>635582.81000000006</v>
      </c>
      <c r="D6" s="164">
        <f>D7+D9+D11+D15</f>
        <v>759038</v>
      </c>
      <c r="E6" s="164">
        <f>E7+E9+E11+E15</f>
        <v>786770.27</v>
      </c>
      <c r="F6" s="52">
        <f>E6/C6*100</f>
        <v>123.78721664923566</v>
      </c>
      <c r="G6" s="52">
        <f>E6/D6*100</f>
        <v>103.65360759276874</v>
      </c>
    </row>
    <row r="7" spans="2:9">
      <c r="B7" s="16" t="s">
        <v>63</v>
      </c>
      <c r="C7" s="160">
        <f>C8</f>
        <v>32465.19</v>
      </c>
      <c r="D7" s="160">
        <f>D8</f>
        <v>31809</v>
      </c>
      <c r="E7" s="160">
        <f>E8</f>
        <v>29182.23</v>
      </c>
      <c r="F7" s="52">
        <f t="shared" ref="F7:F32" si="0">E7/C7*100</f>
        <v>89.887753621648287</v>
      </c>
      <c r="G7" s="52">
        <f t="shared" ref="G7:G32" si="1">E7/D7*100</f>
        <v>91.742054135621999</v>
      </c>
    </row>
    <row r="8" spans="2:9">
      <c r="B8" s="18" t="s">
        <v>194</v>
      </c>
      <c r="C8" s="160">
        <v>32465.19</v>
      </c>
      <c r="D8" s="160">
        <f>7908+9738+7141+7022</f>
        <v>31809</v>
      </c>
      <c r="E8" s="160">
        <f>5307.94+9738+7140.35+6995.94</f>
        <v>29182.23</v>
      </c>
      <c r="F8" s="52">
        <f t="shared" si="0"/>
        <v>89.887753621648287</v>
      </c>
      <c r="G8" s="52">
        <f t="shared" si="1"/>
        <v>91.742054135621999</v>
      </c>
      <c r="I8" s="137"/>
    </row>
    <row r="9" spans="2:9">
      <c r="B9" s="16" t="s">
        <v>67</v>
      </c>
      <c r="C9" s="160">
        <f>C10</f>
        <v>37848.879999999997</v>
      </c>
      <c r="D9" s="161">
        <f>D10</f>
        <v>17830</v>
      </c>
      <c r="E9" s="161">
        <f>E10</f>
        <v>33843.85</v>
      </c>
      <c r="F9" s="52">
        <f t="shared" si="0"/>
        <v>89.418365880311384</v>
      </c>
      <c r="G9" s="52">
        <f t="shared" si="1"/>
        <v>189.81407739764441</v>
      </c>
      <c r="I9" s="137"/>
    </row>
    <row r="10" spans="2:9">
      <c r="B10" s="19" t="s">
        <v>193</v>
      </c>
      <c r="C10" s="160">
        <v>37848.879999999997</v>
      </c>
      <c r="D10" s="161">
        <v>17830</v>
      </c>
      <c r="E10" s="161">
        <v>33843.85</v>
      </c>
      <c r="F10" s="52">
        <f t="shared" si="0"/>
        <v>89.418365880311384</v>
      </c>
      <c r="G10" s="52">
        <f t="shared" si="1"/>
        <v>189.81407739764441</v>
      </c>
      <c r="I10" s="137"/>
    </row>
    <row r="11" spans="2:9">
      <c r="B11" s="16" t="s">
        <v>68</v>
      </c>
      <c r="C11" s="160">
        <f>C12+C14</f>
        <v>92278.17</v>
      </c>
      <c r="D11" s="161">
        <f>D12+D14+D13</f>
        <v>118420</v>
      </c>
      <c r="E11" s="161">
        <f>E12+E14+E13</f>
        <v>112750.13</v>
      </c>
      <c r="F11" s="52">
        <f t="shared" si="0"/>
        <v>122.18505200092287</v>
      </c>
      <c r="G11" s="52">
        <f t="shared" si="1"/>
        <v>95.212067218375267</v>
      </c>
      <c r="I11" s="137"/>
    </row>
    <row r="12" spans="2:9">
      <c r="B12" s="103" t="s">
        <v>191</v>
      </c>
      <c r="C12" s="160">
        <v>2040</v>
      </c>
      <c r="D12" s="162">
        <v>8000</v>
      </c>
      <c r="E12" s="162">
        <v>2330.3000000000002</v>
      </c>
      <c r="F12" s="52">
        <f t="shared" si="0"/>
        <v>114.23039215686275</v>
      </c>
      <c r="G12" s="52">
        <f t="shared" si="1"/>
        <v>29.128750000000004</v>
      </c>
      <c r="I12" s="137"/>
    </row>
    <row r="13" spans="2:9" ht="25.5">
      <c r="B13" s="218" t="s">
        <v>242</v>
      </c>
      <c r="C13" s="160">
        <v>0</v>
      </c>
      <c r="D13" s="162">
        <v>410</v>
      </c>
      <c r="E13" s="162">
        <v>409.83</v>
      </c>
      <c r="F13" s="52"/>
      <c r="G13" s="52">
        <f t="shared" si="1"/>
        <v>99.958536585365849</v>
      </c>
      <c r="I13" s="137"/>
    </row>
    <row r="14" spans="2:9">
      <c r="B14" s="19" t="s">
        <v>192</v>
      </c>
      <c r="C14" s="160">
        <v>90238.17</v>
      </c>
      <c r="D14" s="161">
        <f>77510+32500</f>
        <v>110010</v>
      </c>
      <c r="E14" s="161">
        <f>77510+32500</f>
        <v>110010</v>
      </c>
      <c r="F14" s="52">
        <f t="shared" si="0"/>
        <v>121.91071693940603</v>
      </c>
      <c r="G14" s="52">
        <f t="shared" si="1"/>
        <v>100</v>
      </c>
    </row>
    <row r="15" spans="2:9">
      <c r="B15" s="21" t="s">
        <v>72</v>
      </c>
      <c r="C15" s="160">
        <f>C17+C16+C18</f>
        <v>472990.57</v>
      </c>
      <c r="D15" s="161">
        <f>D17+D18+D16</f>
        <v>590979</v>
      </c>
      <c r="E15" s="161">
        <f>E17+E18+E16</f>
        <v>610994.05999999994</v>
      </c>
      <c r="F15" s="52">
        <f t="shared" si="0"/>
        <v>129.17679521602301</v>
      </c>
      <c r="G15" s="52">
        <f t="shared" si="1"/>
        <v>103.38676331984722</v>
      </c>
      <c r="I15" s="137"/>
    </row>
    <row r="16" spans="2:9">
      <c r="B16" s="19" t="s">
        <v>207</v>
      </c>
      <c r="C16" s="160">
        <v>15435.43</v>
      </c>
      <c r="D16" s="161">
        <f>2600+117+21068</f>
        <v>23785</v>
      </c>
      <c r="E16" s="161">
        <v>23704.36</v>
      </c>
      <c r="F16" s="52">
        <f t="shared" si="0"/>
        <v>153.57110232756716</v>
      </c>
      <c r="G16" s="52">
        <f t="shared" si="1"/>
        <v>99.660962791675416</v>
      </c>
      <c r="I16" s="137"/>
    </row>
    <row r="17" spans="2:9">
      <c r="B17" s="175" t="s">
        <v>205</v>
      </c>
      <c r="C17" s="160">
        <v>14258.08</v>
      </c>
      <c r="D17" s="161">
        <f>8141+728</f>
        <v>8869</v>
      </c>
      <c r="E17" s="161">
        <f>8141.06+727.02</f>
        <v>8868.08</v>
      </c>
      <c r="F17" s="52">
        <f t="shared" si="0"/>
        <v>62.196873632354425</v>
      </c>
      <c r="G17" s="52">
        <f t="shared" si="1"/>
        <v>99.989626789942491</v>
      </c>
      <c r="I17" s="137"/>
    </row>
    <row r="18" spans="2:9">
      <c r="B18" s="19" t="s">
        <v>206</v>
      </c>
      <c r="C18" s="160">
        <v>443297.06</v>
      </c>
      <c r="D18" s="161">
        <v>558325</v>
      </c>
      <c r="E18" s="161">
        <f>578424.24-2.62</f>
        <v>578421.62</v>
      </c>
      <c r="F18" s="52">
        <f t="shared" si="0"/>
        <v>130.48171806057093</v>
      </c>
      <c r="G18" s="52">
        <f t="shared" si="1"/>
        <v>103.59944834997536</v>
      </c>
      <c r="I18" s="137"/>
    </row>
    <row r="19" spans="2:9">
      <c r="B19" s="19"/>
      <c r="C19" s="160"/>
      <c r="D19" s="161"/>
      <c r="E19" s="162"/>
      <c r="F19" s="52"/>
      <c r="G19" s="52"/>
    </row>
    <row r="20" spans="2:9" ht="15.75" customHeight="1">
      <c r="B20" s="16" t="s">
        <v>46</v>
      </c>
      <c r="C20" s="163">
        <f>C21+C23+C25+C29</f>
        <v>637533.89</v>
      </c>
      <c r="D20" s="219">
        <f>D21+D23+D25+D29</f>
        <v>759038</v>
      </c>
      <c r="E20" s="220">
        <f>E21+E23+E25+E29</f>
        <v>786922.84</v>
      </c>
      <c r="F20" s="52">
        <f t="shared" si="0"/>
        <v>123.4323151040645</v>
      </c>
      <c r="G20" s="52">
        <f t="shared" si="1"/>
        <v>103.67370803569781</v>
      </c>
    </row>
    <row r="21" spans="2:9" ht="15.75" customHeight="1">
      <c r="B21" s="16" t="s">
        <v>63</v>
      </c>
      <c r="C21" s="160">
        <f>C22</f>
        <v>31694.01</v>
      </c>
      <c r="D21" s="160">
        <f>D22</f>
        <v>31809</v>
      </c>
      <c r="E21" s="162">
        <f>E22</f>
        <v>29182.23</v>
      </c>
      <c r="F21" s="52">
        <f t="shared" si="0"/>
        <v>92.074906267777408</v>
      </c>
      <c r="G21" s="52">
        <f t="shared" si="1"/>
        <v>91.742054135621999</v>
      </c>
    </row>
    <row r="22" spans="2:9">
      <c r="B22" s="18" t="s">
        <v>194</v>
      </c>
      <c r="C22" s="160">
        <v>31694.01</v>
      </c>
      <c r="D22" s="160">
        <v>31809</v>
      </c>
      <c r="E22" s="162">
        <v>29182.23</v>
      </c>
      <c r="F22" s="52">
        <f t="shared" si="0"/>
        <v>92.074906267777408</v>
      </c>
      <c r="G22" s="52">
        <f t="shared" si="1"/>
        <v>91.742054135621999</v>
      </c>
    </row>
    <row r="23" spans="2:9">
      <c r="B23" s="16" t="s">
        <v>67</v>
      </c>
      <c r="C23" s="160">
        <f>C24</f>
        <v>37848.879999999997</v>
      </c>
      <c r="D23" s="161">
        <f>D24</f>
        <v>17830</v>
      </c>
      <c r="E23" s="162">
        <f>E24</f>
        <v>35926.620000000003</v>
      </c>
      <c r="F23" s="52">
        <f t="shared" si="0"/>
        <v>94.921223560644336</v>
      </c>
      <c r="G23" s="52">
        <f t="shared" si="1"/>
        <v>201.49534492428495</v>
      </c>
    </row>
    <row r="24" spans="2:9">
      <c r="B24" s="19" t="s">
        <v>195</v>
      </c>
      <c r="C24" s="160">
        <v>37848.879999999997</v>
      </c>
      <c r="D24" s="161">
        <v>17830</v>
      </c>
      <c r="E24" s="162">
        <v>35926.620000000003</v>
      </c>
      <c r="F24" s="52">
        <f t="shared" si="0"/>
        <v>94.921223560644336</v>
      </c>
      <c r="G24" s="52">
        <f t="shared" si="1"/>
        <v>201.49534492428495</v>
      </c>
    </row>
    <row r="25" spans="2:9">
      <c r="B25" s="16" t="s">
        <v>68</v>
      </c>
      <c r="C25" s="160">
        <f>C26+C28</f>
        <v>94730.43</v>
      </c>
      <c r="D25" s="161">
        <f>D26+D28+D27</f>
        <v>118420</v>
      </c>
      <c r="E25" s="162">
        <f>E26+E28+E27</f>
        <v>112275.3</v>
      </c>
      <c r="F25" s="52">
        <f t="shared" si="0"/>
        <v>118.52083855208934</v>
      </c>
      <c r="G25" s="52">
        <f t="shared" si="1"/>
        <v>94.811096098631992</v>
      </c>
    </row>
    <row r="26" spans="2:9">
      <c r="B26" s="103" t="s">
        <v>191</v>
      </c>
      <c r="C26" s="160">
        <v>2040</v>
      </c>
      <c r="D26" s="161">
        <f>D12</f>
        <v>8000</v>
      </c>
      <c r="E26" s="162">
        <v>2265.3000000000002</v>
      </c>
      <c r="F26" s="52">
        <f t="shared" si="0"/>
        <v>111.04411764705884</v>
      </c>
      <c r="G26" s="52">
        <f t="shared" si="1"/>
        <v>28.316250000000004</v>
      </c>
    </row>
    <row r="27" spans="2:9" ht="25.5">
      <c r="B27" s="218" t="s">
        <v>242</v>
      </c>
      <c r="C27" s="160">
        <v>0</v>
      </c>
      <c r="D27" s="161">
        <v>410</v>
      </c>
      <c r="E27" s="162">
        <v>0</v>
      </c>
      <c r="F27" s="52"/>
      <c r="G27" s="52">
        <f t="shared" si="1"/>
        <v>0</v>
      </c>
    </row>
    <row r="28" spans="2:9">
      <c r="B28" s="19" t="s">
        <v>192</v>
      </c>
      <c r="C28" s="160">
        <v>92690.43</v>
      </c>
      <c r="D28" s="161">
        <v>110010</v>
      </c>
      <c r="E28" s="162">
        <v>110010</v>
      </c>
      <c r="F28" s="52">
        <f t="shared" si="0"/>
        <v>118.68539179287443</v>
      </c>
      <c r="G28" s="52">
        <f t="shared" si="1"/>
        <v>100</v>
      </c>
    </row>
    <row r="29" spans="2:9">
      <c r="B29" s="21" t="s">
        <v>72</v>
      </c>
      <c r="C29" s="160">
        <f>C30+C32+C31</f>
        <v>473260.57</v>
      </c>
      <c r="D29" s="161">
        <f>D30+D32+D31</f>
        <v>590979</v>
      </c>
      <c r="E29" s="162">
        <f>E30+E32+E31</f>
        <v>609538.68999999994</v>
      </c>
      <c r="F29" s="52">
        <f t="shared" si="0"/>
        <v>128.79557872315453</v>
      </c>
      <c r="G29" s="52">
        <f t="shared" si="1"/>
        <v>103.14049907018692</v>
      </c>
    </row>
    <row r="30" spans="2:9">
      <c r="B30" s="19" t="s">
        <v>207</v>
      </c>
      <c r="C30" s="160">
        <v>15435.43</v>
      </c>
      <c r="D30" s="161">
        <v>23785</v>
      </c>
      <c r="E30" s="162">
        <f>23701.74+2.62</f>
        <v>23704.36</v>
      </c>
      <c r="F30" s="52">
        <f t="shared" si="0"/>
        <v>153.57110232756716</v>
      </c>
      <c r="G30" s="52">
        <f t="shared" si="1"/>
        <v>99.660962791675416</v>
      </c>
    </row>
    <row r="31" spans="2:9">
      <c r="B31" s="175" t="s">
        <v>205</v>
      </c>
      <c r="C31" s="160">
        <v>14528.08</v>
      </c>
      <c r="D31" s="161">
        <v>8869</v>
      </c>
      <c r="E31" s="162">
        <v>8868.08</v>
      </c>
      <c r="F31" s="52">
        <f t="shared" si="0"/>
        <v>61.04096343081811</v>
      </c>
      <c r="G31" s="52">
        <f t="shared" si="1"/>
        <v>99.989626789942491</v>
      </c>
    </row>
    <row r="32" spans="2:9">
      <c r="B32" s="19" t="s">
        <v>206</v>
      </c>
      <c r="C32" s="160">
        <v>443297.06</v>
      </c>
      <c r="D32" s="161">
        <v>558325</v>
      </c>
      <c r="E32" s="162">
        <f>576968.87-2.62</f>
        <v>576966.25</v>
      </c>
      <c r="F32" s="52">
        <f t="shared" si="0"/>
        <v>130.1534122513693</v>
      </c>
      <c r="G32" s="52">
        <f t="shared" si="1"/>
        <v>103.33878117583843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G11"/>
  <sheetViews>
    <sheetView zoomScaleNormal="100" workbookViewId="0">
      <selection activeCell="B1" sqref="B1"/>
    </sheetView>
  </sheetViews>
  <sheetFormatPr defaultRowHeight="12.7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3"/>
      <c r="C1" s="13"/>
      <c r="D1" s="13"/>
      <c r="E1" s="14"/>
      <c r="F1" s="14"/>
      <c r="G1" s="14"/>
    </row>
    <row r="2" spans="2:7" ht="15.75" customHeight="1">
      <c r="B2" s="284" t="s">
        <v>76</v>
      </c>
      <c r="C2" s="284"/>
      <c r="D2" s="284"/>
      <c r="E2" s="284"/>
      <c r="F2" s="284"/>
      <c r="G2" s="284"/>
    </row>
    <row r="3" spans="2:7" ht="18">
      <c r="B3" s="13"/>
      <c r="C3" s="13"/>
      <c r="D3" s="13"/>
      <c r="E3" s="14"/>
      <c r="F3" s="14"/>
      <c r="G3" s="14"/>
    </row>
    <row r="4" spans="2:7" ht="25.5">
      <c r="B4" s="15" t="s">
        <v>61</v>
      </c>
      <c r="C4" s="15" t="s">
        <v>148</v>
      </c>
      <c r="D4" s="15" t="s">
        <v>177</v>
      </c>
      <c r="E4" s="15" t="s">
        <v>181</v>
      </c>
      <c r="F4" s="15" t="s">
        <v>62</v>
      </c>
      <c r="G4" s="15" t="s">
        <v>62</v>
      </c>
    </row>
    <row r="5" spans="2:7"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</row>
    <row r="6" spans="2:7" ht="15.75" customHeight="1">
      <c r="B6" s="16" t="s">
        <v>46</v>
      </c>
      <c r="C6" s="230">
        <f>C7</f>
        <v>637533.89</v>
      </c>
      <c r="D6" s="230">
        <f>D7</f>
        <v>759038</v>
      </c>
      <c r="E6" s="231">
        <f>E7</f>
        <v>786922.84000000008</v>
      </c>
      <c r="F6" s="58">
        <f t="shared" ref="F6:F11" si="0">E6/C6*100</f>
        <v>123.43231510406451</v>
      </c>
      <c r="G6" s="58">
        <f t="shared" ref="G6:G10" si="1">E6/D6*100</f>
        <v>103.67370803569781</v>
      </c>
    </row>
    <row r="7" spans="2:7" ht="15.75" customHeight="1">
      <c r="B7" s="16" t="s">
        <v>79</v>
      </c>
      <c r="C7" s="102">
        <f>C8+C10+C11</f>
        <v>637533.89</v>
      </c>
      <c r="D7" s="102">
        <f>D8+D10</f>
        <v>759038</v>
      </c>
      <c r="E7" s="149">
        <f>E8+E10</f>
        <v>786922.84000000008</v>
      </c>
      <c r="F7" s="58">
        <f t="shared" si="0"/>
        <v>123.43231510406451</v>
      </c>
      <c r="G7" s="58">
        <f t="shared" si="1"/>
        <v>103.67370803569781</v>
      </c>
    </row>
    <row r="8" spans="2:7">
      <c r="B8" s="22" t="s">
        <v>147</v>
      </c>
      <c r="C8" s="111">
        <f>C9</f>
        <v>616508.64</v>
      </c>
      <c r="D8" s="102">
        <f>D9</f>
        <v>664724</v>
      </c>
      <c r="E8" s="149">
        <f>E9</f>
        <v>692568.65</v>
      </c>
      <c r="F8" s="58">
        <f t="shared" si="0"/>
        <v>112.33721720428768</v>
      </c>
      <c r="G8" s="58">
        <f t="shared" si="1"/>
        <v>104.18890396615738</v>
      </c>
    </row>
    <row r="9" spans="2:7">
      <c r="B9" s="23" t="s">
        <v>80</v>
      </c>
      <c r="C9" s="102">
        <f>616508.64</f>
        <v>616508.64</v>
      </c>
      <c r="D9" s="102">
        <v>664724</v>
      </c>
      <c r="E9" s="149">
        <v>692568.65</v>
      </c>
      <c r="F9" s="58">
        <f t="shared" si="0"/>
        <v>112.33721720428768</v>
      </c>
      <c r="G9" s="58">
        <f t="shared" si="1"/>
        <v>104.18890396615738</v>
      </c>
    </row>
    <row r="10" spans="2:7">
      <c r="B10" s="16" t="s">
        <v>81</v>
      </c>
      <c r="C10" s="102">
        <v>1084.06</v>
      </c>
      <c r="D10" s="102">
        <f>64503+18500+185+11126</f>
        <v>94314</v>
      </c>
      <c r="E10" s="149">
        <v>94354.19</v>
      </c>
      <c r="F10" s="58">
        <f t="shared" si="0"/>
        <v>8703.7793111082428</v>
      </c>
      <c r="G10" s="58">
        <f t="shared" si="1"/>
        <v>100.04261297368366</v>
      </c>
    </row>
    <row r="11" spans="2:7" ht="25.5">
      <c r="B11" s="16" t="s">
        <v>208</v>
      </c>
      <c r="C11" s="102">
        <v>19941.189999999999</v>
      </c>
      <c r="D11" s="102">
        <v>0</v>
      </c>
      <c r="E11" s="149">
        <v>0</v>
      </c>
      <c r="F11" s="58">
        <f t="shared" si="0"/>
        <v>0</v>
      </c>
      <c r="G11" s="58"/>
    </row>
  </sheetData>
  <mergeCells count="1">
    <mergeCell ref="B2:G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ignoredErrors>
    <ignoredError sqref="E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zoomScaleNormal="100" workbookViewId="0">
      <selection sqref="A1:J1"/>
    </sheetView>
  </sheetViews>
  <sheetFormatPr defaultRowHeight="12.75"/>
  <cols>
    <col min="1" max="1" width="6.28515625" customWidth="1"/>
    <col min="2" max="2" width="6.7109375" customWidth="1"/>
    <col min="3" max="3" width="6.42578125" customWidth="1"/>
    <col min="4" max="4" width="7.28515625" customWidth="1"/>
    <col min="5" max="5" width="42.85546875" customWidth="1"/>
    <col min="6" max="6" width="14" customWidth="1"/>
    <col min="7" max="7" width="20.7109375" customWidth="1"/>
    <col min="8" max="8" width="13.85546875" customWidth="1"/>
    <col min="9" max="10" width="15.5703125" customWidth="1"/>
  </cols>
  <sheetData>
    <row r="1" spans="1:10" ht="20.100000000000001" customHeight="1">
      <c r="A1" s="284" t="s">
        <v>149</v>
      </c>
      <c r="B1" s="284"/>
      <c r="C1" s="284"/>
      <c r="D1" s="284"/>
      <c r="E1" s="284"/>
      <c r="F1" s="284"/>
      <c r="G1" s="284"/>
      <c r="H1" s="284"/>
      <c r="I1" s="284"/>
      <c r="J1" s="284"/>
    </row>
    <row r="2" spans="1:10" ht="20.100000000000001" customHeight="1">
      <c r="A2" s="284" t="s">
        <v>150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0" ht="20.100000000000001" customHeight="1">
      <c r="A3" s="13"/>
      <c r="B3" s="13"/>
      <c r="C3" s="13"/>
      <c r="D3" s="13"/>
      <c r="E3" s="13"/>
      <c r="F3" s="13"/>
      <c r="G3" s="13"/>
      <c r="H3" s="14"/>
      <c r="I3" s="14"/>
      <c r="J3" s="14"/>
    </row>
    <row r="4" spans="1:10" ht="43.5" customHeight="1">
      <c r="A4" s="286" t="s">
        <v>61</v>
      </c>
      <c r="B4" s="287"/>
      <c r="C4" s="287"/>
      <c r="D4" s="287"/>
      <c r="E4" s="288"/>
      <c r="F4" s="99" t="s">
        <v>122</v>
      </c>
      <c r="G4" s="15" t="s">
        <v>177</v>
      </c>
      <c r="H4" s="99" t="s">
        <v>176</v>
      </c>
      <c r="I4" s="99" t="s">
        <v>62</v>
      </c>
      <c r="J4" s="99" t="s">
        <v>62</v>
      </c>
    </row>
    <row r="5" spans="1:10" ht="20.100000000000001" customHeight="1">
      <c r="A5" s="286">
        <v>1</v>
      </c>
      <c r="B5" s="287"/>
      <c r="C5" s="287"/>
      <c r="D5" s="287"/>
      <c r="E5" s="288"/>
      <c r="F5" s="99">
        <v>2</v>
      </c>
      <c r="G5" s="99">
        <v>3</v>
      </c>
      <c r="H5" s="99">
        <v>4</v>
      </c>
      <c r="I5" s="99">
        <v>5</v>
      </c>
      <c r="J5" s="99">
        <v>6</v>
      </c>
    </row>
    <row r="6" spans="1:10" ht="24.95" customHeight="1">
      <c r="A6" s="16">
        <v>8</v>
      </c>
      <c r="B6" s="16"/>
      <c r="C6" s="16"/>
      <c r="D6" s="16"/>
      <c r="E6" s="16" t="s">
        <v>151</v>
      </c>
      <c r="F6" s="230">
        <v>0</v>
      </c>
      <c r="G6" s="232">
        <v>0</v>
      </c>
      <c r="H6" s="233">
        <v>0</v>
      </c>
      <c r="I6" s="54">
        <v>0</v>
      </c>
      <c r="J6" s="54">
        <v>0</v>
      </c>
    </row>
    <row r="7" spans="1:10" ht="24.95" customHeight="1">
      <c r="A7" s="16"/>
      <c r="B7" s="115">
        <v>84</v>
      </c>
      <c r="C7" s="115"/>
      <c r="D7" s="115"/>
      <c r="E7" s="115" t="s">
        <v>152</v>
      </c>
      <c r="F7" s="102">
        <v>0</v>
      </c>
      <c r="G7" s="17">
        <v>0</v>
      </c>
      <c r="H7" s="121">
        <v>0</v>
      </c>
      <c r="I7" s="54">
        <v>0</v>
      </c>
      <c r="J7" s="54">
        <v>0</v>
      </c>
    </row>
    <row r="8" spans="1:10" ht="24.95" customHeight="1">
      <c r="A8" s="116"/>
      <c r="B8" s="116"/>
      <c r="C8" s="116">
        <v>841</v>
      </c>
      <c r="D8" s="116"/>
      <c r="E8" s="117" t="s">
        <v>153</v>
      </c>
      <c r="F8" s="102">
        <v>0</v>
      </c>
      <c r="G8" s="17">
        <v>0</v>
      </c>
      <c r="H8" s="121">
        <v>0</v>
      </c>
      <c r="I8" s="54">
        <v>0</v>
      </c>
      <c r="J8" s="54">
        <v>0</v>
      </c>
    </row>
    <row r="9" spans="1:10" ht="24.95" customHeight="1">
      <c r="A9" s="116"/>
      <c r="B9" s="116"/>
      <c r="C9" s="116"/>
      <c r="D9" s="116">
        <v>8413</v>
      </c>
      <c r="E9" s="117" t="s">
        <v>154</v>
      </c>
      <c r="F9" s="102">
        <v>0</v>
      </c>
      <c r="G9" s="17">
        <v>0</v>
      </c>
      <c r="H9" s="121">
        <v>0</v>
      </c>
      <c r="I9" s="54">
        <v>0</v>
      </c>
      <c r="J9" s="54">
        <v>0</v>
      </c>
    </row>
    <row r="10" spans="1:10" ht="24.95" customHeight="1">
      <c r="A10" s="118">
        <v>5</v>
      </c>
      <c r="B10" s="118"/>
      <c r="C10" s="118"/>
      <c r="D10" s="118"/>
      <c r="E10" s="119" t="s">
        <v>155</v>
      </c>
      <c r="F10" s="230">
        <v>0</v>
      </c>
      <c r="G10" s="232">
        <v>0</v>
      </c>
      <c r="H10" s="233">
        <v>0</v>
      </c>
      <c r="I10" s="54">
        <v>0</v>
      </c>
      <c r="J10" s="54">
        <v>0</v>
      </c>
    </row>
    <row r="11" spans="1:10" ht="24.95" customHeight="1">
      <c r="A11" s="115"/>
      <c r="B11" s="115">
        <v>54</v>
      </c>
      <c r="C11" s="115"/>
      <c r="D11" s="115"/>
      <c r="E11" s="120" t="s">
        <v>156</v>
      </c>
      <c r="F11" s="102">
        <v>0</v>
      </c>
      <c r="G11" s="17">
        <v>0</v>
      </c>
      <c r="H11" s="121">
        <v>0</v>
      </c>
      <c r="I11" s="54">
        <v>0</v>
      </c>
      <c r="J11" s="54">
        <v>0</v>
      </c>
    </row>
    <row r="12" spans="1:10" ht="24.95" customHeight="1">
      <c r="A12" s="115"/>
      <c r="B12" s="115"/>
      <c r="C12" s="115">
        <v>541</v>
      </c>
      <c r="D12" s="117"/>
      <c r="E12" s="117" t="s">
        <v>157</v>
      </c>
      <c r="F12" s="102">
        <v>0</v>
      </c>
      <c r="G12" s="17">
        <v>0</v>
      </c>
      <c r="H12" s="121">
        <v>0</v>
      </c>
      <c r="I12" s="54">
        <v>0</v>
      </c>
      <c r="J12" s="54">
        <v>0</v>
      </c>
    </row>
    <row r="13" spans="1:10" ht="24.95" customHeight="1">
      <c r="A13" s="115"/>
      <c r="B13" s="115"/>
      <c r="C13" s="115"/>
      <c r="D13" s="117">
        <v>5413</v>
      </c>
      <c r="E13" s="117" t="s">
        <v>158</v>
      </c>
      <c r="F13" s="102">
        <v>0</v>
      </c>
      <c r="G13" s="17">
        <v>0</v>
      </c>
      <c r="H13" s="121">
        <v>0</v>
      </c>
      <c r="I13" s="54">
        <v>0</v>
      </c>
      <c r="J13" s="54">
        <v>0</v>
      </c>
    </row>
  </sheetData>
  <mergeCells count="4">
    <mergeCell ref="A1:J1"/>
    <mergeCell ref="A2:J2"/>
    <mergeCell ref="A4:E4"/>
    <mergeCell ref="A5:E5"/>
  </mergeCells>
  <pageMargins left="0.7" right="0.7" top="0.75" bottom="0.75" header="0.3" footer="0.3"/>
  <pageSetup paperSize="9" scale="5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36"/>
  <sheetViews>
    <sheetView zoomScaleNormal="100" workbookViewId="0">
      <selection activeCell="B1" sqref="B1"/>
    </sheetView>
  </sheetViews>
  <sheetFormatPr defaultRowHeight="12.75"/>
  <cols>
    <col min="2" max="2" width="30.140625" customWidth="1"/>
    <col min="3" max="5" width="25.7109375" customWidth="1"/>
    <col min="6" max="6" width="16.5703125" customWidth="1"/>
    <col min="7" max="7" width="17.140625" customWidth="1"/>
  </cols>
  <sheetData>
    <row r="1" spans="2:7" ht="20.100000000000001" customHeight="1">
      <c r="B1" s="13"/>
      <c r="C1" s="13"/>
      <c r="D1" s="13"/>
      <c r="E1" s="14"/>
      <c r="F1" s="14"/>
      <c r="G1" s="14"/>
    </row>
    <row r="2" spans="2:7" ht="20.100000000000001" customHeight="1">
      <c r="B2" s="284" t="s">
        <v>159</v>
      </c>
      <c r="C2" s="284"/>
      <c r="D2" s="284"/>
      <c r="E2" s="284"/>
      <c r="F2" s="284"/>
      <c r="G2" s="284"/>
    </row>
    <row r="3" spans="2:7" ht="20.100000000000001" customHeight="1">
      <c r="B3" s="13"/>
      <c r="C3" s="13"/>
      <c r="D3" s="13"/>
      <c r="E3" s="14"/>
      <c r="F3" s="14"/>
      <c r="G3" s="14"/>
    </row>
    <row r="4" spans="2:7" ht="36.75" customHeight="1">
      <c r="B4" s="15" t="s">
        <v>61</v>
      </c>
      <c r="C4" s="15" t="s">
        <v>121</v>
      </c>
      <c r="D4" s="15" t="s">
        <v>177</v>
      </c>
      <c r="E4" s="15" t="s">
        <v>178</v>
      </c>
      <c r="F4" s="15" t="s">
        <v>62</v>
      </c>
      <c r="G4" s="15" t="s">
        <v>62</v>
      </c>
    </row>
    <row r="5" spans="2:7" ht="20.100000000000001" customHeight="1"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</row>
    <row r="6" spans="2:7" ht="20.100000000000001" customHeight="1">
      <c r="B6" s="16" t="s">
        <v>160</v>
      </c>
      <c r="C6" s="230">
        <v>0</v>
      </c>
      <c r="D6" s="232">
        <v>0</v>
      </c>
      <c r="E6" s="233">
        <v>0</v>
      </c>
      <c r="F6" s="54">
        <v>0</v>
      </c>
      <c r="G6" s="54">
        <v>0</v>
      </c>
    </row>
    <row r="7" spans="2:7" ht="20.100000000000001" customHeight="1">
      <c r="B7" s="16" t="s">
        <v>63</v>
      </c>
      <c r="C7" s="102">
        <v>0</v>
      </c>
      <c r="D7" s="17">
        <v>0</v>
      </c>
      <c r="E7" s="121">
        <v>0</v>
      </c>
      <c r="F7" s="54">
        <v>0</v>
      </c>
      <c r="G7" s="54">
        <v>0</v>
      </c>
    </row>
    <row r="8" spans="2:7" ht="20.100000000000001" customHeight="1">
      <c r="B8" s="18" t="s">
        <v>64</v>
      </c>
      <c r="C8" s="102">
        <v>0</v>
      </c>
      <c r="D8" s="17">
        <v>0</v>
      </c>
      <c r="E8" s="121">
        <v>0</v>
      </c>
      <c r="F8" s="54">
        <v>0</v>
      </c>
      <c r="G8" s="54">
        <v>0</v>
      </c>
    </row>
    <row r="9" spans="2:7" ht="20.100000000000001" customHeight="1">
      <c r="B9" s="16" t="s">
        <v>65</v>
      </c>
      <c r="C9" s="102">
        <v>0</v>
      </c>
      <c r="D9" s="17">
        <v>0</v>
      </c>
      <c r="E9" s="121">
        <v>0</v>
      </c>
      <c r="F9" s="54">
        <v>0</v>
      </c>
      <c r="G9" s="54">
        <v>0</v>
      </c>
    </row>
    <row r="10" spans="2:7" ht="24" customHeight="1">
      <c r="B10" s="19" t="s">
        <v>66</v>
      </c>
      <c r="C10" s="102">
        <v>0</v>
      </c>
      <c r="D10" s="17">
        <v>0</v>
      </c>
      <c r="E10" s="121">
        <v>0</v>
      </c>
      <c r="F10" s="54">
        <v>0</v>
      </c>
      <c r="G10" s="54">
        <v>0</v>
      </c>
    </row>
    <row r="11" spans="2:7" ht="20.100000000000001" customHeight="1">
      <c r="B11" s="16" t="s">
        <v>67</v>
      </c>
      <c r="C11" s="102">
        <v>0</v>
      </c>
      <c r="D11" s="17">
        <v>0</v>
      </c>
      <c r="E11" s="121">
        <v>0</v>
      </c>
      <c r="F11" s="54">
        <v>0</v>
      </c>
      <c r="G11" s="54">
        <v>0</v>
      </c>
    </row>
    <row r="12" spans="2:7" ht="26.25" customHeight="1">
      <c r="B12" s="19" t="s">
        <v>71</v>
      </c>
      <c r="C12" s="102">
        <v>0</v>
      </c>
      <c r="D12" s="17">
        <v>0</v>
      </c>
      <c r="E12" s="121">
        <v>0</v>
      </c>
      <c r="F12" s="54">
        <v>0</v>
      </c>
      <c r="G12" s="54">
        <v>0</v>
      </c>
    </row>
    <row r="13" spans="2:7" ht="20.100000000000001" customHeight="1">
      <c r="B13" s="16" t="s">
        <v>68</v>
      </c>
      <c r="C13" s="102">
        <v>0</v>
      </c>
      <c r="D13" s="17">
        <v>0</v>
      </c>
      <c r="E13" s="121">
        <v>0</v>
      </c>
      <c r="F13" s="54">
        <v>0</v>
      </c>
      <c r="G13" s="54">
        <v>0</v>
      </c>
    </row>
    <row r="14" spans="2:7" ht="20.100000000000001" customHeight="1">
      <c r="B14" s="103" t="s">
        <v>70</v>
      </c>
      <c r="C14" s="102">
        <v>0</v>
      </c>
      <c r="D14" s="17">
        <v>0</v>
      </c>
      <c r="E14" s="121">
        <v>0</v>
      </c>
      <c r="F14" s="54">
        <v>0</v>
      </c>
      <c r="G14" s="54">
        <v>0</v>
      </c>
    </row>
    <row r="15" spans="2:7" ht="20.100000000000001" customHeight="1">
      <c r="B15" s="19" t="s">
        <v>69</v>
      </c>
      <c r="C15" s="102">
        <v>0</v>
      </c>
      <c r="D15" s="17">
        <v>0</v>
      </c>
      <c r="E15" s="121">
        <v>0</v>
      </c>
      <c r="F15" s="54">
        <v>0</v>
      </c>
      <c r="G15" s="54">
        <v>0</v>
      </c>
    </row>
    <row r="16" spans="2:7" ht="20.100000000000001" customHeight="1">
      <c r="B16" s="21" t="s">
        <v>72</v>
      </c>
      <c r="C16" s="102">
        <v>0</v>
      </c>
      <c r="D16" s="17">
        <v>0</v>
      </c>
      <c r="E16" s="121">
        <v>0</v>
      </c>
      <c r="F16" s="54">
        <v>0</v>
      </c>
      <c r="G16" s="54">
        <v>0</v>
      </c>
    </row>
    <row r="17" spans="2:7" ht="24.75" customHeight="1">
      <c r="B17" s="123" t="s">
        <v>146</v>
      </c>
      <c r="C17" s="102">
        <v>0</v>
      </c>
      <c r="D17" s="17">
        <v>0</v>
      </c>
      <c r="E17" s="121">
        <v>0</v>
      </c>
      <c r="F17" s="54">
        <v>0</v>
      </c>
      <c r="G17" s="54">
        <v>0</v>
      </c>
    </row>
    <row r="18" spans="2:7" ht="20.100000000000001" customHeight="1">
      <c r="B18" s="19" t="s">
        <v>73</v>
      </c>
      <c r="C18" s="102">
        <v>0</v>
      </c>
      <c r="D18" s="17">
        <v>0</v>
      </c>
      <c r="E18" s="121">
        <v>0</v>
      </c>
      <c r="F18" s="54">
        <v>0</v>
      </c>
      <c r="G18" s="54">
        <v>0</v>
      </c>
    </row>
    <row r="19" spans="2:7" ht="20.100000000000001" customHeight="1">
      <c r="B19" s="21" t="s">
        <v>74</v>
      </c>
      <c r="C19" s="102">
        <v>0</v>
      </c>
      <c r="D19" s="17">
        <v>0</v>
      </c>
      <c r="E19" s="121">
        <v>0</v>
      </c>
      <c r="F19" s="54">
        <v>0</v>
      </c>
      <c r="G19" s="54">
        <v>0</v>
      </c>
    </row>
    <row r="20" spans="2:7" ht="20.100000000000001" customHeight="1">
      <c r="B20" s="19" t="s">
        <v>75</v>
      </c>
      <c r="C20" s="102">
        <v>0</v>
      </c>
      <c r="D20" s="17">
        <v>0</v>
      </c>
      <c r="E20" s="121">
        <v>0</v>
      </c>
      <c r="F20" s="54">
        <v>0</v>
      </c>
      <c r="G20" s="54">
        <v>0</v>
      </c>
    </row>
    <row r="21" spans="2:7" ht="21.75" customHeight="1">
      <c r="B21" s="122"/>
      <c r="C21" s="102"/>
      <c r="D21" s="17"/>
      <c r="E21" s="121"/>
      <c r="F21" s="54"/>
      <c r="G21" s="54"/>
    </row>
    <row r="22" spans="2:7" ht="20.100000000000001" customHeight="1">
      <c r="B22" s="124" t="s">
        <v>161</v>
      </c>
      <c r="C22" s="230">
        <v>0</v>
      </c>
      <c r="D22" s="232">
        <v>0</v>
      </c>
      <c r="E22" s="233">
        <v>0</v>
      </c>
      <c r="F22" s="54">
        <v>0</v>
      </c>
      <c r="G22" s="54">
        <v>0</v>
      </c>
    </row>
    <row r="23" spans="2:7" ht="20.100000000000001" customHeight="1">
      <c r="B23" s="16" t="s">
        <v>63</v>
      </c>
      <c r="C23" s="102">
        <v>0</v>
      </c>
      <c r="D23" s="17">
        <v>0</v>
      </c>
      <c r="E23" s="121">
        <v>0</v>
      </c>
      <c r="F23" s="54">
        <v>0</v>
      </c>
      <c r="G23" s="54">
        <v>0</v>
      </c>
    </row>
    <row r="24" spans="2:7" ht="20.100000000000001" customHeight="1">
      <c r="B24" s="18" t="s">
        <v>64</v>
      </c>
      <c r="C24" s="102">
        <v>0</v>
      </c>
      <c r="D24" s="17">
        <v>0</v>
      </c>
      <c r="E24" s="121">
        <v>0</v>
      </c>
      <c r="F24" s="54">
        <v>0</v>
      </c>
      <c r="G24" s="54">
        <v>0</v>
      </c>
    </row>
    <row r="25" spans="2:7" ht="20.100000000000001" customHeight="1">
      <c r="B25" s="16" t="s">
        <v>65</v>
      </c>
      <c r="C25" s="102">
        <v>0</v>
      </c>
      <c r="D25" s="17">
        <v>0</v>
      </c>
      <c r="E25" s="121">
        <v>0</v>
      </c>
      <c r="F25" s="54">
        <v>0</v>
      </c>
      <c r="G25" s="54">
        <v>0</v>
      </c>
    </row>
    <row r="26" spans="2:7" ht="20.100000000000001" customHeight="1">
      <c r="B26" s="19" t="s">
        <v>66</v>
      </c>
      <c r="C26" s="102">
        <v>0</v>
      </c>
      <c r="D26" s="17">
        <v>0</v>
      </c>
      <c r="E26" s="121">
        <v>0</v>
      </c>
      <c r="F26" s="54">
        <v>0</v>
      </c>
      <c r="G26" s="54">
        <v>0</v>
      </c>
    </row>
    <row r="27" spans="2:7" ht="20.100000000000001" customHeight="1">
      <c r="B27" s="16" t="s">
        <v>67</v>
      </c>
      <c r="C27" s="102">
        <v>0</v>
      </c>
      <c r="D27" s="17">
        <v>0</v>
      </c>
      <c r="E27" s="121">
        <v>0</v>
      </c>
      <c r="F27" s="54">
        <v>0</v>
      </c>
      <c r="G27" s="54">
        <v>0</v>
      </c>
    </row>
    <row r="28" spans="2:7" ht="25.5">
      <c r="B28" s="19" t="s">
        <v>71</v>
      </c>
      <c r="C28" s="102">
        <v>0</v>
      </c>
      <c r="D28" s="17">
        <v>0</v>
      </c>
      <c r="E28" s="121">
        <v>0</v>
      </c>
      <c r="F28" s="54">
        <v>0</v>
      </c>
      <c r="G28" s="54">
        <v>0</v>
      </c>
    </row>
    <row r="29" spans="2:7">
      <c r="B29" s="16" t="s">
        <v>68</v>
      </c>
      <c r="C29" s="102">
        <v>0</v>
      </c>
      <c r="D29" s="17">
        <v>0</v>
      </c>
      <c r="E29" s="121">
        <v>0</v>
      </c>
      <c r="F29" s="54">
        <v>0</v>
      </c>
      <c r="G29" s="54">
        <v>0</v>
      </c>
    </row>
    <row r="30" spans="2:7">
      <c r="B30" s="103" t="s">
        <v>70</v>
      </c>
      <c r="C30" s="102">
        <v>0</v>
      </c>
      <c r="D30" s="17">
        <v>0</v>
      </c>
      <c r="E30" s="121">
        <v>0</v>
      </c>
      <c r="F30" s="54">
        <v>0</v>
      </c>
      <c r="G30" s="54">
        <v>0</v>
      </c>
    </row>
    <row r="31" spans="2:7">
      <c r="B31" s="19" t="s">
        <v>69</v>
      </c>
      <c r="C31" s="102">
        <v>0</v>
      </c>
      <c r="D31" s="17">
        <v>0</v>
      </c>
      <c r="E31" s="121">
        <v>0</v>
      </c>
      <c r="F31" s="54">
        <v>0</v>
      </c>
      <c r="G31" s="54">
        <v>0</v>
      </c>
    </row>
    <row r="32" spans="2:7">
      <c r="B32" s="21" t="s">
        <v>72</v>
      </c>
      <c r="C32" s="102">
        <v>0</v>
      </c>
      <c r="D32" s="17">
        <v>0</v>
      </c>
      <c r="E32" s="121">
        <v>0</v>
      </c>
      <c r="F32" s="54">
        <v>0</v>
      </c>
      <c r="G32" s="54">
        <v>0</v>
      </c>
    </row>
    <row r="33" spans="2:7" ht="25.5">
      <c r="B33" s="123" t="s">
        <v>146</v>
      </c>
      <c r="C33" s="102">
        <v>0</v>
      </c>
      <c r="D33" s="17">
        <v>0</v>
      </c>
      <c r="E33" s="121">
        <v>0</v>
      </c>
      <c r="F33" s="54">
        <v>0</v>
      </c>
      <c r="G33" s="54">
        <v>0</v>
      </c>
    </row>
    <row r="34" spans="2:7">
      <c r="B34" s="19" t="s">
        <v>73</v>
      </c>
      <c r="C34" s="102">
        <v>0</v>
      </c>
      <c r="D34" s="17">
        <v>0</v>
      </c>
      <c r="E34" s="121">
        <v>0</v>
      </c>
      <c r="F34" s="54">
        <v>0</v>
      </c>
      <c r="G34" s="54">
        <v>0</v>
      </c>
    </row>
    <row r="35" spans="2:7">
      <c r="B35" s="21" t="s">
        <v>74</v>
      </c>
      <c r="C35" s="102">
        <v>0</v>
      </c>
      <c r="D35" s="17">
        <v>0</v>
      </c>
      <c r="E35" s="121">
        <v>0</v>
      </c>
      <c r="F35" s="54">
        <v>0</v>
      </c>
      <c r="G35" s="54">
        <v>0</v>
      </c>
    </row>
    <row r="36" spans="2:7">
      <c r="B36" s="19" t="s">
        <v>75</v>
      </c>
      <c r="C36" s="102">
        <v>0</v>
      </c>
      <c r="D36" s="17">
        <v>0</v>
      </c>
      <c r="E36" s="121">
        <v>0</v>
      </c>
      <c r="F36" s="54">
        <v>0</v>
      </c>
      <c r="G36" s="54">
        <v>0</v>
      </c>
    </row>
  </sheetData>
  <mergeCells count="1">
    <mergeCell ref="B2:G2"/>
  </mergeCells>
  <pageMargins left="0.7" right="0.7" top="0.75" bottom="0.75" header="0.3" footer="0.3"/>
  <pageSetup paperSize="9" scale="5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B1:K249"/>
  <sheetViews>
    <sheetView zoomScaleNormal="100" workbookViewId="0"/>
  </sheetViews>
  <sheetFormatPr defaultRowHeight="12.75"/>
  <cols>
    <col min="2" max="2" width="10.140625" bestFit="1" customWidth="1"/>
    <col min="3" max="3" width="8.42578125" bestFit="1" customWidth="1"/>
    <col min="4" max="4" width="20.140625" customWidth="1"/>
    <col min="5" max="5" width="47.85546875" customWidth="1"/>
    <col min="6" max="7" width="25.28515625" customWidth="1"/>
    <col min="8" max="8" width="15.7109375" customWidth="1"/>
    <col min="10" max="10" width="10.140625" bestFit="1" customWidth="1"/>
  </cols>
  <sheetData>
    <row r="1" spans="2:8" ht="18">
      <c r="B1" s="13"/>
      <c r="C1" s="13"/>
      <c r="D1" s="13"/>
      <c r="E1" s="13"/>
      <c r="F1" s="13"/>
      <c r="G1" s="13"/>
      <c r="H1" s="14"/>
    </row>
    <row r="2" spans="2:8" ht="18" customHeight="1">
      <c r="B2" s="284" t="s">
        <v>77</v>
      </c>
      <c r="C2" s="292"/>
      <c r="D2" s="292"/>
      <c r="E2" s="292"/>
      <c r="F2" s="292"/>
      <c r="G2" s="292"/>
      <c r="H2" s="292"/>
    </row>
    <row r="3" spans="2:8" ht="18">
      <c r="B3" s="13"/>
      <c r="C3" s="13"/>
      <c r="D3" s="13"/>
      <c r="E3" s="13"/>
      <c r="F3" s="13"/>
      <c r="G3" s="13"/>
      <c r="H3" s="14"/>
    </row>
    <row r="4" spans="2:8" ht="15.75">
      <c r="B4" s="293" t="s">
        <v>78</v>
      </c>
      <c r="C4" s="293"/>
      <c r="D4" s="293"/>
      <c r="E4" s="293"/>
      <c r="F4" s="293"/>
      <c r="G4" s="293"/>
      <c r="H4" s="293"/>
    </row>
    <row r="5" spans="2:8" ht="18">
      <c r="B5" s="13"/>
      <c r="C5" s="13"/>
      <c r="D5" s="13"/>
      <c r="E5" s="13"/>
      <c r="F5" s="13"/>
      <c r="G5" s="13"/>
      <c r="H5" s="14"/>
    </row>
    <row r="6" spans="2:8">
      <c r="B6" s="286" t="s">
        <v>61</v>
      </c>
      <c r="C6" s="287"/>
      <c r="D6" s="287"/>
      <c r="E6" s="288"/>
      <c r="F6" s="15" t="s">
        <v>177</v>
      </c>
      <c r="G6" s="225" t="s">
        <v>182</v>
      </c>
      <c r="H6" s="15" t="s">
        <v>62</v>
      </c>
    </row>
    <row r="7" spans="2:8" s="24" customFormat="1" ht="15.75" customHeight="1" thickBot="1">
      <c r="B7" s="294">
        <v>1</v>
      </c>
      <c r="C7" s="295"/>
      <c r="D7" s="295"/>
      <c r="E7" s="296"/>
      <c r="F7" s="196">
        <v>2</v>
      </c>
      <c r="G7" s="196">
        <v>3</v>
      </c>
      <c r="H7" s="196">
        <v>4</v>
      </c>
    </row>
    <row r="8" spans="2:8" s="24" customFormat="1" ht="15.75" customHeight="1" thickBot="1">
      <c r="B8" s="198" t="s">
        <v>170</v>
      </c>
      <c r="C8" s="199" t="s">
        <v>234</v>
      </c>
      <c r="D8" s="199" t="s">
        <v>236</v>
      </c>
      <c r="E8" s="200" t="s">
        <v>235</v>
      </c>
      <c r="F8" s="191">
        <f>SUM(F9:F18)</f>
        <v>759038</v>
      </c>
      <c r="G8" s="191">
        <f>SUM(G9:G18)</f>
        <v>786922.84</v>
      </c>
      <c r="H8" s="192">
        <f>G8/F8*100</f>
        <v>103.67370803569781</v>
      </c>
    </row>
    <row r="9" spans="2:8" s="27" customFormat="1" ht="30" customHeight="1">
      <c r="B9" s="221" t="s">
        <v>84</v>
      </c>
      <c r="C9" s="14"/>
      <c r="D9" s="222"/>
      <c r="E9" s="197" t="s">
        <v>212</v>
      </c>
      <c r="F9" s="207">
        <f>7908+9738+7141+7022</f>
        <v>31809</v>
      </c>
      <c r="G9" s="208">
        <f>5307.94+9738+7140.35+6995.94</f>
        <v>29182.23</v>
      </c>
      <c r="H9" s="209">
        <f t="shared" ref="H9:H17" si="0">G9/F9*100</f>
        <v>91.742054135621999</v>
      </c>
    </row>
    <row r="10" spans="2:8" s="27" customFormat="1" ht="30" customHeight="1">
      <c r="B10" s="210" t="s">
        <v>221</v>
      </c>
      <c r="C10" s="211"/>
      <c r="D10" s="212"/>
      <c r="E10" s="28" t="s">
        <v>222</v>
      </c>
      <c r="F10" s="27">
        <v>17830</v>
      </c>
      <c r="G10" s="213">
        <v>35926.620000000003</v>
      </c>
      <c r="H10" s="209">
        <f t="shared" si="0"/>
        <v>201.49534492428495</v>
      </c>
    </row>
    <row r="11" spans="2:8" s="27" customFormat="1" ht="30" customHeight="1">
      <c r="B11" s="214" t="s">
        <v>97</v>
      </c>
      <c r="C11" s="211"/>
      <c r="D11" s="212"/>
      <c r="E11" s="28" t="s">
        <v>98</v>
      </c>
      <c r="F11" s="215">
        <f>500+7500</f>
        <v>8000</v>
      </c>
      <c r="G11" s="216">
        <f>2265.3</f>
        <v>2265.3000000000002</v>
      </c>
      <c r="H11" s="209">
        <f t="shared" si="0"/>
        <v>28.316250000000004</v>
      </c>
    </row>
    <row r="12" spans="2:8" s="27" customFormat="1" ht="30" customHeight="1">
      <c r="B12" s="214" t="s">
        <v>223</v>
      </c>
      <c r="C12" s="211"/>
      <c r="D12" s="212"/>
      <c r="E12" s="31" t="s">
        <v>224</v>
      </c>
      <c r="F12" s="215">
        <f>410</f>
        <v>410</v>
      </c>
      <c r="G12" s="216">
        <f>0</f>
        <v>0</v>
      </c>
      <c r="H12" s="209">
        <f t="shared" si="0"/>
        <v>0</v>
      </c>
    </row>
    <row r="13" spans="2:8" s="27" customFormat="1" ht="30" customHeight="1">
      <c r="B13" s="210" t="s">
        <v>86</v>
      </c>
      <c r="C13" s="211"/>
      <c r="D13" s="212"/>
      <c r="E13" s="31" t="s">
        <v>88</v>
      </c>
      <c r="F13" s="215">
        <f>77510+32500</f>
        <v>110010</v>
      </c>
      <c r="G13" s="216">
        <f>77510+32500</f>
        <v>110010</v>
      </c>
      <c r="H13" s="209">
        <f t="shared" si="0"/>
        <v>100</v>
      </c>
    </row>
    <row r="14" spans="2:8" s="27" customFormat="1" ht="30" customHeight="1">
      <c r="B14" s="210" t="s">
        <v>240</v>
      </c>
      <c r="C14" s="211"/>
      <c r="D14" s="212"/>
      <c r="E14" s="31" t="s">
        <v>241</v>
      </c>
      <c r="F14" s="215">
        <v>0</v>
      </c>
      <c r="G14" s="216">
        <v>0</v>
      </c>
      <c r="H14" s="209"/>
    </row>
    <row r="15" spans="2:8" s="27" customFormat="1" ht="30" customHeight="1">
      <c r="B15" s="210" t="s">
        <v>217</v>
      </c>
      <c r="C15" s="211"/>
      <c r="D15" s="212"/>
      <c r="E15" s="31" t="s">
        <v>218</v>
      </c>
      <c r="F15" s="215">
        <f>2600+117+21068</f>
        <v>23785</v>
      </c>
      <c r="G15" s="216">
        <f>2600+116.52+20987.84</f>
        <v>23704.36</v>
      </c>
      <c r="H15" s="209">
        <f t="shared" si="0"/>
        <v>99.660962791675416</v>
      </c>
    </row>
    <row r="16" spans="2:8" s="27" customFormat="1" ht="30" customHeight="1">
      <c r="B16" s="210" t="s">
        <v>211</v>
      </c>
      <c r="C16" s="211"/>
      <c r="D16" s="212"/>
      <c r="E16" s="31" t="s">
        <v>213</v>
      </c>
      <c r="F16" s="215">
        <f>8141+728</f>
        <v>8869</v>
      </c>
      <c r="G16" s="216">
        <f>8141.06+727.02</f>
        <v>8868.08</v>
      </c>
      <c r="H16" s="209">
        <f t="shared" si="0"/>
        <v>99.989626789942491</v>
      </c>
    </row>
    <row r="17" spans="2:8" s="27" customFormat="1" ht="30" customHeight="1">
      <c r="B17" s="217" t="s">
        <v>87</v>
      </c>
      <c r="C17" s="211"/>
      <c r="D17" s="212"/>
      <c r="E17" s="31" t="s">
        <v>89</v>
      </c>
      <c r="F17" s="215">
        <f>530660+2500+6480+18500+185</f>
        <v>558325</v>
      </c>
      <c r="G17" s="216">
        <f>552284.41+4752.98+1988+17756.36+184.5</f>
        <v>576966.25</v>
      </c>
      <c r="H17" s="209">
        <f t="shared" si="0"/>
        <v>103.33878117583843</v>
      </c>
    </row>
    <row r="18" spans="2:8" s="27" customFormat="1" ht="30" customHeight="1" thickBot="1">
      <c r="B18" s="217" t="s">
        <v>184</v>
      </c>
      <c r="C18" s="211"/>
      <c r="D18" s="212"/>
      <c r="E18" s="31" t="s">
        <v>185</v>
      </c>
      <c r="F18" s="215">
        <v>0</v>
      </c>
      <c r="G18" s="216">
        <v>0</v>
      </c>
      <c r="H18" s="209"/>
    </row>
    <row r="19" spans="2:8" s="27" customFormat="1" ht="30" customHeight="1" thickBot="1">
      <c r="B19" s="304" t="s">
        <v>209</v>
      </c>
      <c r="C19" s="305"/>
      <c r="D19" s="305"/>
      <c r="E19" s="204" t="s">
        <v>210</v>
      </c>
      <c r="F19" s="203">
        <f>F20+F22+F21</f>
        <v>19494</v>
      </c>
      <c r="G19" s="205">
        <f>G20+G22+G21</f>
        <v>16892.54</v>
      </c>
      <c r="H19" s="192">
        <f>G19/F19*100</f>
        <v>86.655073355904392</v>
      </c>
    </row>
    <row r="20" spans="2:8" s="27" customFormat="1" ht="30" customHeight="1">
      <c r="B20" s="195" t="s">
        <v>84</v>
      </c>
      <c r="C20" s="187"/>
      <c r="D20" s="188"/>
      <c r="E20" s="178" t="s">
        <v>212</v>
      </c>
      <c r="F20" s="176">
        <f>7908</f>
        <v>7908</v>
      </c>
      <c r="G20" s="177">
        <f>5307.94</f>
        <v>5307.94</v>
      </c>
      <c r="H20" s="139">
        <f>G20/F20*100</f>
        <v>67.121143146181069</v>
      </c>
    </row>
    <row r="21" spans="2:8" s="27" customFormat="1" ht="30" customHeight="1">
      <c r="B21" s="32" t="s">
        <v>217</v>
      </c>
      <c r="C21" s="30"/>
      <c r="D21" s="25"/>
      <c r="E21" s="70" t="s">
        <v>218</v>
      </c>
      <c r="F21" s="26">
        <f>2600+117</f>
        <v>2717</v>
      </c>
      <c r="G21" s="138">
        <f>2600+116.52</f>
        <v>2716.52</v>
      </c>
      <c r="H21" s="112">
        <f t="shared" ref="H21:H82" si="1">G21/F21*100</f>
        <v>99.98233345601767</v>
      </c>
    </row>
    <row r="22" spans="2:8" s="27" customFormat="1" ht="30" customHeight="1">
      <c r="B22" s="32" t="s">
        <v>211</v>
      </c>
      <c r="C22" s="30"/>
      <c r="D22" s="25"/>
      <c r="E22" s="70" t="s">
        <v>213</v>
      </c>
      <c r="F22" s="26">
        <f>8141+728</f>
        <v>8869</v>
      </c>
      <c r="G22" s="138">
        <f>8141.06+727.02</f>
        <v>8868.08</v>
      </c>
      <c r="H22" s="112">
        <f t="shared" si="1"/>
        <v>99.989626789942491</v>
      </c>
    </row>
    <row r="23" spans="2:8" s="27" customFormat="1" ht="30" customHeight="1">
      <c r="B23" s="306" t="s">
        <v>214</v>
      </c>
      <c r="C23" s="307"/>
      <c r="D23" s="308"/>
      <c r="E23" s="71" t="s">
        <v>215</v>
      </c>
      <c r="F23" s="26">
        <f>F24+F35+F44</f>
        <v>18649</v>
      </c>
      <c r="G23" s="138">
        <f>G24+G35+G44</f>
        <v>16049</v>
      </c>
      <c r="H23" s="112">
        <f t="shared" si="1"/>
        <v>86.058233685452308</v>
      </c>
    </row>
    <row r="24" spans="2:8" s="27" customFormat="1" ht="30" customHeight="1">
      <c r="B24" s="32" t="s">
        <v>84</v>
      </c>
      <c r="C24" s="179"/>
      <c r="D24" s="180"/>
      <c r="E24" s="70" t="s">
        <v>212</v>
      </c>
      <c r="F24" s="26">
        <f>F25+F32</f>
        <v>7908</v>
      </c>
      <c r="G24" s="138">
        <f>G25+G32</f>
        <v>5307.9400000000005</v>
      </c>
      <c r="H24" s="112">
        <f t="shared" si="1"/>
        <v>67.121143146181083</v>
      </c>
    </row>
    <row r="25" spans="2:8" s="27" customFormat="1" ht="30" customHeight="1">
      <c r="B25" s="29">
        <v>31</v>
      </c>
      <c r="C25" s="30"/>
      <c r="D25" s="25"/>
      <c r="E25" s="70" t="s">
        <v>0</v>
      </c>
      <c r="F25" s="26">
        <f>F26+F28+F30</f>
        <v>7368</v>
      </c>
      <c r="G25" s="138">
        <f>G26+G28+G30</f>
        <v>4967.9400000000005</v>
      </c>
      <c r="H25" s="112">
        <f t="shared" si="1"/>
        <v>67.425895765472319</v>
      </c>
    </row>
    <row r="26" spans="2:8" s="27" customFormat="1" ht="30" customHeight="1">
      <c r="B26" s="29"/>
      <c r="C26" s="30">
        <v>311</v>
      </c>
      <c r="D26" s="25"/>
      <c r="E26" s="70" t="s">
        <v>243</v>
      </c>
      <c r="F26" s="26">
        <v>5536</v>
      </c>
      <c r="G26" s="138">
        <f>G27</f>
        <v>3536</v>
      </c>
      <c r="H26" s="112">
        <f t="shared" si="1"/>
        <v>63.872832369942202</v>
      </c>
    </row>
    <row r="27" spans="2:8" s="27" customFormat="1" ht="30" customHeight="1">
      <c r="B27" s="32"/>
      <c r="C27" s="30"/>
      <c r="D27" s="25">
        <v>3111</v>
      </c>
      <c r="E27" s="70" t="s">
        <v>22</v>
      </c>
      <c r="F27" s="26"/>
      <c r="G27" s="138">
        <f>3536</f>
        <v>3536</v>
      </c>
      <c r="H27" s="112"/>
    </row>
    <row r="28" spans="2:8" s="27" customFormat="1" ht="30" customHeight="1">
      <c r="B28" s="32"/>
      <c r="C28" s="30">
        <v>312</v>
      </c>
      <c r="D28" s="25"/>
      <c r="E28" s="70" t="s">
        <v>172</v>
      </c>
      <c r="F28" s="26">
        <v>919</v>
      </c>
      <c r="G28" s="138">
        <f>G29</f>
        <v>918.94</v>
      </c>
      <c r="H28" s="112">
        <f t="shared" si="1"/>
        <v>99.993471164309028</v>
      </c>
    </row>
    <row r="29" spans="2:8" s="27" customFormat="1" ht="30" customHeight="1">
      <c r="B29" s="32"/>
      <c r="C29" s="30"/>
      <c r="D29" s="25">
        <v>3121</v>
      </c>
      <c r="E29" s="70" t="s">
        <v>172</v>
      </c>
      <c r="F29" s="26"/>
      <c r="G29" s="138">
        <f>918.94</f>
        <v>918.94</v>
      </c>
      <c r="H29" s="112"/>
    </row>
    <row r="30" spans="2:8" s="27" customFormat="1" ht="30" customHeight="1">
      <c r="B30" s="32"/>
      <c r="C30" s="30">
        <v>313</v>
      </c>
      <c r="D30" s="25"/>
      <c r="E30" s="70" t="s">
        <v>3</v>
      </c>
      <c r="F30" s="26">
        <v>913</v>
      </c>
      <c r="G30" s="138">
        <f>G31</f>
        <v>513</v>
      </c>
      <c r="H30" s="112">
        <f t="shared" si="1"/>
        <v>56.188389923329687</v>
      </c>
    </row>
    <row r="31" spans="2:8" s="27" customFormat="1" ht="30" customHeight="1">
      <c r="B31" s="32"/>
      <c r="C31" s="30"/>
      <c r="D31" s="25">
        <v>3132</v>
      </c>
      <c r="E31" s="70" t="s">
        <v>23</v>
      </c>
      <c r="F31" s="26"/>
      <c r="G31" s="138">
        <f>513</f>
        <v>513</v>
      </c>
      <c r="H31" s="112"/>
    </row>
    <row r="32" spans="2:8" s="27" customFormat="1" ht="30" customHeight="1">
      <c r="B32" s="29">
        <v>32</v>
      </c>
      <c r="C32" s="30"/>
      <c r="D32" s="25"/>
      <c r="E32" s="70" t="s">
        <v>4</v>
      </c>
      <c r="F32" s="26">
        <f>F33</f>
        <v>540</v>
      </c>
      <c r="G32" s="138">
        <f>G33</f>
        <v>340</v>
      </c>
      <c r="H32" s="112">
        <f t="shared" si="1"/>
        <v>62.962962962962962</v>
      </c>
    </row>
    <row r="33" spans="2:8" s="27" customFormat="1" ht="30" customHeight="1">
      <c r="B33" s="29"/>
      <c r="C33" s="30">
        <v>321</v>
      </c>
      <c r="D33" s="25"/>
      <c r="E33" s="70" t="s">
        <v>5</v>
      </c>
      <c r="F33" s="26">
        <v>540</v>
      </c>
      <c r="G33" s="138">
        <f>G34</f>
        <v>340</v>
      </c>
      <c r="H33" s="112">
        <f t="shared" si="1"/>
        <v>62.962962962962962</v>
      </c>
    </row>
    <row r="34" spans="2:8" s="27" customFormat="1" ht="30" customHeight="1">
      <c r="B34" s="32"/>
      <c r="C34" s="30"/>
      <c r="D34" s="25">
        <v>3212</v>
      </c>
      <c r="E34" s="70" t="s">
        <v>216</v>
      </c>
      <c r="F34" s="26"/>
      <c r="G34" s="138">
        <f>340</f>
        <v>340</v>
      </c>
      <c r="H34" s="112"/>
    </row>
    <row r="35" spans="2:8" s="27" customFormat="1" ht="30" customHeight="1">
      <c r="B35" s="32" t="s">
        <v>217</v>
      </c>
      <c r="C35" s="30"/>
      <c r="D35" s="25"/>
      <c r="E35" s="70" t="s">
        <v>218</v>
      </c>
      <c r="F35" s="26">
        <f>F36+F41</f>
        <v>2600</v>
      </c>
      <c r="G35" s="138">
        <f>G36+G41</f>
        <v>2600</v>
      </c>
      <c r="H35" s="112">
        <f t="shared" si="1"/>
        <v>100</v>
      </c>
    </row>
    <row r="36" spans="2:8" s="27" customFormat="1" ht="30" customHeight="1">
      <c r="B36" s="29">
        <v>31</v>
      </c>
      <c r="C36" s="30"/>
      <c r="D36" s="25"/>
      <c r="E36" s="70" t="s">
        <v>0</v>
      </c>
      <c r="F36" s="26">
        <f>F37+F39</f>
        <v>2400</v>
      </c>
      <c r="G36" s="138">
        <f>G38+G40</f>
        <v>2400</v>
      </c>
      <c r="H36" s="112">
        <f t="shared" si="1"/>
        <v>100</v>
      </c>
    </row>
    <row r="37" spans="2:8" s="27" customFormat="1" ht="30" customHeight="1">
      <c r="B37" s="29"/>
      <c r="C37" s="30">
        <v>311</v>
      </c>
      <c r="D37" s="25"/>
      <c r="E37" s="70" t="s">
        <v>243</v>
      </c>
      <c r="F37" s="26">
        <v>2000</v>
      </c>
      <c r="G37" s="138">
        <f>G38</f>
        <v>2000</v>
      </c>
      <c r="H37" s="112">
        <f t="shared" si="1"/>
        <v>100</v>
      </c>
    </row>
    <row r="38" spans="2:8" s="27" customFormat="1" ht="30" customHeight="1">
      <c r="B38" s="32"/>
      <c r="C38" s="30"/>
      <c r="D38" s="25">
        <v>3111</v>
      </c>
      <c r="E38" s="70" t="s">
        <v>22</v>
      </c>
      <c r="F38" s="26"/>
      <c r="G38" s="138">
        <f>2000</f>
        <v>2000</v>
      </c>
      <c r="H38" s="112"/>
    </row>
    <row r="39" spans="2:8" s="27" customFormat="1" ht="30" customHeight="1">
      <c r="B39" s="32"/>
      <c r="C39" s="30">
        <v>313</v>
      </c>
      <c r="D39" s="25"/>
      <c r="E39" s="70" t="s">
        <v>3</v>
      </c>
      <c r="F39" s="26">
        <v>400</v>
      </c>
      <c r="G39" s="138">
        <f>G40</f>
        <v>400</v>
      </c>
      <c r="H39" s="112">
        <f t="shared" si="1"/>
        <v>100</v>
      </c>
    </row>
    <row r="40" spans="2:8" s="27" customFormat="1" ht="30" customHeight="1">
      <c r="B40" s="32"/>
      <c r="C40" s="30"/>
      <c r="D40" s="25">
        <v>3132</v>
      </c>
      <c r="E40" s="70" t="s">
        <v>23</v>
      </c>
      <c r="F40" s="26"/>
      <c r="G40" s="138">
        <f>400</f>
        <v>400</v>
      </c>
      <c r="H40" s="112"/>
    </row>
    <row r="41" spans="2:8" s="27" customFormat="1" ht="30" customHeight="1">
      <c r="B41" s="29">
        <v>32</v>
      </c>
      <c r="C41" s="30"/>
      <c r="D41" s="25"/>
      <c r="E41" s="70" t="s">
        <v>4</v>
      </c>
      <c r="F41" s="26">
        <f>F42</f>
        <v>200</v>
      </c>
      <c r="G41" s="138">
        <f>G43</f>
        <v>200</v>
      </c>
      <c r="H41" s="112">
        <f t="shared" si="1"/>
        <v>100</v>
      </c>
    </row>
    <row r="42" spans="2:8" s="27" customFormat="1" ht="30" customHeight="1">
      <c r="B42" s="29"/>
      <c r="C42" s="30">
        <v>321</v>
      </c>
      <c r="D42" s="25"/>
      <c r="E42" s="70" t="s">
        <v>5</v>
      </c>
      <c r="F42" s="26">
        <v>200</v>
      </c>
      <c r="G42" s="138">
        <f>G43</f>
        <v>200</v>
      </c>
      <c r="H42" s="112">
        <f t="shared" si="1"/>
        <v>100</v>
      </c>
    </row>
    <row r="43" spans="2:8" s="27" customFormat="1" ht="30" customHeight="1">
      <c r="B43" s="32"/>
      <c r="C43" s="30"/>
      <c r="D43" s="25">
        <v>3212</v>
      </c>
      <c r="E43" s="70" t="s">
        <v>216</v>
      </c>
      <c r="F43" s="26"/>
      <c r="G43" s="138">
        <f>200</f>
        <v>200</v>
      </c>
      <c r="H43" s="112"/>
    </row>
    <row r="44" spans="2:8" s="27" customFormat="1" ht="30" customHeight="1">
      <c r="B44" s="32" t="s">
        <v>211</v>
      </c>
      <c r="C44" s="30"/>
      <c r="D44" s="25"/>
      <c r="E44" s="70" t="s">
        <v>213</v>
      </c>
      <c r="F44" s="26">
        <f>F45+F52</f>
        <v>8141</v>
      </c>
      <c r="G44" s="138">
        <f>G45+G52</f>
        <v>8141.0599999999995</v>
      </c>
      <c r="H44" s="112">
        <f t="shared" si="1"/>
        <v>100.00073701019529</v>
      </c>
    </row>
    <row r="45" spans="2:8" s="27" customFormat="1" ht="30" customHeight="1">
      <c r="B45" s="29">
        <v>31</v>
      </c>
      <c r="C45" s="30"/>
      <c r="D45" s="25"/>
      <c r="E45" s="70" t="s">
        <v>0</v>
      </c>
      <c r="F45" s="26">
        <f>F46+F48+F50</f>
        <v>7562</v>
      </c>
      <c r="G45" s="138">
        <f>G46+G48+G50</f>
        <v>7562.0599999999995</v>
      </c>
      <c r="H45" s="112">
        <f t="shared" si="1"/>
        <v>100.00079344088866</v>
      </c>
    </row>
    <row r="46" spans="2:8" s="27" customFormat="1" ht="30" customHeight="1">
      <c r="B46" s="29"/>
      <c r="C46" s="30">
        <v>311</v>
      </c>
      <c r="D46" s="25"/>
      <c r="E46" s="70" t="s">
        <v>243</v>
      </c>
      <c r="F46" s="26">
        <v>5735</v>
      </c>
      <c r="G46" s="138">
        <f>G47</f>
        <v>5735</v>
      </c>
      <c r="H46" s="112">
        <f t="shared" si="1"/>
        <v>100</v>
      </c>
    </row>
    <row r="47" spans="2:8" s="27" customFormat="1" ht="30" customHeight="1">
      <c r="B47" s="32"/>
      <c r="C47" s="30"/>
      <c r="D47" s="25">
        <v>3111</v>
      </c>
      <c r="E47" s="70" t="s">
        <v>22</v>
      </c>
      <c r="F47" s="26"/>
      <c r="G47" s="138">
        <f>5735</f>
        <v>5735</v>
      </c>
      <c r="H47" s="112"/>
    </row>
    <row r="48" spans="2:8" s="27" customFormat="1" ht="30" customHeight="1">
      <c r="B48" s="32"/>
      <c r="C48" s="30">
        <v>312</v>
      </c>
      <c r="D48" s="25"/>
      <c r="E48" s="70" t="s">
        <v>172</v>
      </c>
      <c r="F48" s="26">
        <v>881</v>
      </c>
      <c r="G48" s="138">
        <f>G49</f>
        <v>881.06</v>
      </c>
      <c r="H48" s="112">
        <f t="shared" si="1"/>
        <v>100.00681044267876</v>
      </c>
    </row>
    <row r="49" spans="2:8" s="27" customFormat="1" ht="30" customHeight="1">
      <c r="B49" s="32"/>
      <c r="C49" s="30"/>
      <c r="D49" s="25">
        <v>3121</v>
      </c>
      <c r="E49" s="70" t="s">
        <v>172</v>
      </c>
      <c r="F49" s="26"/>
      <c r="G49" s="138">
        <f>881.06</f>
        <v>881.06</v>
      </c>
      <c r="H49" s="112"/>
    </row>
    <row r="50" spans="2:8" s="27" customFormat="1" ht="30" customHeight="1">
      <c r="B50" s="32"/>
      <c r="C50" s="30">
        <v>313</v>
      </c>
      <c r="D50" s="25"/>
      <c r="E50" s="70" t="s">
        <v>3</v>
      </c>
      <c r="F50" s="26">
        <v>946</v>
      </c>
      <c r="G50" s="138">
        <f>G51</f>
        <v>946</v>
      </c>
      <c r="H50" s="112">
        <f t="shared" si="1"/>
        <v>100</v>
      </c>
    </row>
    <row r="51" spans="2:8" s="27" customFormat="1" ht="30" customHeight="1">
      <c r="B51" s="32"/>
      <c r="C51" s="30"/>
      <c r="D51" s="25">
        <v>3132</v>
      </c>
      <c r="E51" s="70" t="s">
        <v>23</v>
      </c>
      <c r="F51" s="26"/>
      <c r="G51" s="138">
        <f>946</f>
        <v>946</v>
      </c>
      <c r="H51" s="112"/>
    </row>
    <row r="52" spans="2:8" s="27" customFormat="1" ht="30" customHeight="1">
      <c r="B52" s="29">
        <v>32</v>
      </c>
      <c r="C52" s="30"/>
      <c r="D52" s="25"/>
      <c r="E52" s="70" t="s">
        <v>4</v>
      </c>
      <c r="F52" s="26">
        <f>F53</f>
        <v>579</v>
      </c>
      <c r="G52" s="138">
        <f>G53</f>
        <v>579</v>
      </c>
      <c r="H52" s="112">
        <f t="shared" si="1"/>
        <v>100</v>
      </c>
    </row>
    <row r="53" spans="2:8" s="27" customFormat="1" ht="30" customHeight="1">
      <c r="B53" s="29"/>
      <c r="C53" s="30">
        <v>321</v>
      </c>
      <c r="D53" s="25"/>
      <c r="E53" s="70" t="s">
        <v>5</v>
      </c>
      <c r="F53" s="26">
        <v>579</v>
      </c>
      <c r="G53" s="138">
        <f>G54</f>
        <v>579</v>
      </c>
      <c r="H53" s="112">
        <f t="shared" si="1"/>
        <v>100</v>
      </c>
    </row>
    <row r="54" spans="2:8" s="27" customFormat="1" ht="30" customHeight="1">
      <c r="B54" s="32"/>
      <c r="C54" s="30"/>
      <c r="D54" s="25">
        <v>3212</v>
      </c>
      <c r="E54" s="70" t="s">
        <v>216</v>
      </c>
      <c r="F54" s="26"/>
      <c r="G54" s="138">
        <v>579</v>
      </c>
      <c r="H54" s="112"/>
    </row>
    <row r="55" spans="2:8" s="27" customFormat="1" ht="30" customHeight="1">
      <c r="B55" s="306" t="s">
        <v>219</v>
      </c>
      <c r="C55" s="307"/>
      <c r="D55" s="308"/>
      <c r="E55" s="70" t="s">
        <v>220</v>
      </c>
      <c r="F55" s="26">
        <f>F56+F60</f>
        <v>845</v>
      </c>
      <c r="G55" s="138">
        <f>G56+G60</f>
        <v>843.54</v>
      </c>
      <c r="H55" s="112">
        <f t="shared" si="1"/>
        <v>99.827218934911244</v>
      </c>
    </row>
    <row r="56" spans="2:8" s="27" customFormat="1" ht="30" customHeight="1">
      <c r="B56" s="32" t="s">
        <v>217</v>
      </c>
      <c r="C56" s="179"/>
      <c r="D56" s="180"/>
      <c r="E56" s="70" t="s">
        <v>218</v>
      </c>
      <c r="F56" s="26">
        <f>F57</f>
        <v>117</v>
      </c>
      <c r="G56" s="138">
        <f>G57</f>
        <v>116.52</v>
      </c>
      <c r="H56" s="112">
        <f t="shared" si="1"/>
        <v>99.589743589743591</v>
      </c>
    </row>
    <row r="57" spans="2:8" s="27" customFormat="1" ht="30" customHeight="1">
      <c r="B57" s="29">
        <v>32</v>
      </c>
      <c r="C57" s="30"/>
      <c r="D57" s="25"/>
      <c r="E57" s="70" t="s">
        <v>4</v>
      </c>
      <c r="F57" s="26">
        <f>F58</f>
        <v>117</v>
      </c>
      <c r="G57" s="138">
        <f>G58</f>
        <v>116.52</v>
      </c>
      <c r="H57" s="112">
        <f t="shared" si="1"/>
        <v>99.589743589743591</v>
      </c>
    </row>
    <row r="58" spans="2:8" s="27" customFormat="1" ht="30" customHeight="1">
      <c r="B58" s="29"/>
      <c r="C58" s="30">
        <v>322</v>
      </c>
      <c r="D58" s="25"/>
      <c r="E58" s="70" t="s">
        <v>7</v>
      </c>
      <c r="F58" s="26">
        <v>117</v>
      </c>
      <c r="G58" s="138">
        <f>G59</f>
        <v>116.52</v>
      </c>
      <c r="H58" s="112">
        <f t="shared" si="1"/>
        <v>99.589743589743591</v>
      </c>
    </row>
    <row r="59" spans="2:8" s="27" customFormat="1" ht="30" customHeight="1">
      <c r="B59" s="32"/>
      <c r="C59" s="30"/>
      <c r="D59" s="25">
        <v>3222</v>
      </c>
      <c r="E59" s="70" t="s">
        <v>174</v>
      </c>
      <c r="F59" s="26"/>
      <c r="G59" s="138">
        <v>116.52</v>
      </c>
      <c r="H59" s="112"/>
    </row>
    <row r="60" spans="2:8" s="27" customFormat="1" ht="30" customHeight="1">
      <c r="B60" s="32" t="s">
        <v>211</v>
      </c>
      <c r="C60" s="30"/>
      <c r="D60" s="25"/>
      <c r="E60" s="70" t="s">
        <v>213</v>
      </c>
      <c r="F60" s="26">
        <f>F61</f>
        <v>728</v>
      </c>
      <c r="G60" s="138">
        <f>G61</f>
        <v>727.02</v>
      </c>
      <c r="H60" s="112">
        <f t="shared" si="1"/>
        <v>99.865384615384613</v>
      </c>
    </row>
    <row r="61" spans="2:8" s="27" customFormat="1" ht="30" customHeight="1">
      <c r="B61" s="29">
        <v>32</v>
      </c>
      <c r="C61" s="30"/>
      <c r="D61" s="25"/>
      <c r="E61" s="70" t="s">
        <v>4</v>
      </c>
      <c r="F61" s="26">
        <f>F62</f>
        <v>728</v>
      </c>
      <c r="G61" s="138">
        <f>G62</f>
        <v>727.02</v>
      </c>
      <c r="H61" s="112">
        <f t="shared" si="1"/>
        <v>99.865384615384613</v>
      </c>
    </row>
    <row r="62" spans="2:8" s="27" customFormat="1" ht="30" customHeight="1">
      <c r="B62" s="140"/>
      <c r="C62" s="141">
        <v>322</v>
      </c>
      <c r="D62" s="142"/>
      <c r="E62" s="201" t="s">
        <v>7</v>
      </c>
      <c r="F62" s="144">
        <v>728</v>
      </c>
      <c r="G62" s="194">
        <f>G63</f>
        <v>727.02</v>
      </c>
      <c r="H62" s="112">
        <f t="shared" si="1"/>
        <v>99.865384615384613</v>
      </c>
    </row>
    <row r="63" spans="2:8" s="27" customFormat="1" ht="30" customHeight="1" thickBot="1">
      <c r="B63" s="193"/>
      <c r="C63" s="141"/>
      <c r="D63" s="142">
        <v>3222</v>
      </c>
      <c r="E63" s="201" t="s">
        <v>174</v>
      </c>
      <c r="F63" s="144"/>
      <c r="G63" s="194">
        <v>727.02</v>
      </c>
      <c r="H63" s="186"/>
    </row>
    <row r="64" spans="2:8" s="27" customFormat="1" ht="30" customHeight="1" thickBot="1">
      <c r="B64" s="297" t="s">
        <v>82</v>
      </c>
      <c r="C64" s="298"/>
      <c r="D64" s="299"/>
      <c r="E64" s="202" t="s">
        <v>83</v>
      </c>
      <c r="F64" s="203">
        <f>F65+F67+F68+F66</f>
        <v>650818</v>
      </c>
      <c r="G64" s="191">
        <f>G65+G67+G68+G66</f>
        <v>672032.41</v>
      </c>
      <c r="H64" s="192">
        <f t="shared" si="1"/>
        <v>103.25965323638869</v>
      </c>
    </row>
    <row r="65" spans="2:8" s="27" customFormat="1" ht="30" customHeight="1">
      <c r="B65" s="303" t="s">
        <v>84</v>
      </c>
      <c r="C65" s="303"/>
      <c r="D65" s="303"/>
      <c r="E65" s="197" t="s">
        <v>212</v>
      </c>
      <c r="F65" s="176">
        <f>9738</f>
        <v>9738</v>
      </c>
      <c r="G65" s="189">
        <f>9738</f>
        <v>9738</v>
      </c>
      <c r="H65" s="139">
        <f t="shared" si="1"/>
        <v>100</v>
      </c>
    </row>
    <row r="66" spans="2:8" s="27" customFormat="1" ht="30" customHeight="1">
      <c r="B66" s="29" t="s">
        <v>223</v>
      </c>
      <c r="C66" s="30"/>
      <c r="D66" s="25"/>
      <c r="E66" s="31" t="s">
        <v>224</v>
      </c>
      <c r="F66" s="26">
        <f>410</f>
        <v>410</v>
      </c>
      <c r="G66" s="33">
        <f>0</f>
        <v>0</v>
      </c>
      <c r="H66" s="112">
        <f t="shared" si="1"/>
        <v>0</v>
      </c>
    </row>
    <row r="67" spans="2:8" s="27" customFormat="1" ht="30" customHeight="1">
      <c r="B67" s="29" t="s">
        <v>86</v>
      </c>
      <c r="C67" s="30"/>
      <c r="D67" s="25"/>
      <c r="E67" s="31" t="s">
        <v>88</v>
      </c>
      <c r="F67" s="26">
        <f>77510+32500</f>
        <v>110010</v>
      </c>
      <c r="G67" s="33">
        <f>77510+32500</f>
        <v>110010</v>
      </c>
      <c r="H67" s="112">
        <f t="shared" si="1"/>
        <v>100</v>
      </c>
    </row>
    <row r="68" spans="2:8" s="27" customFormat="1" ht="30" customHeight="1">
      <c r="B68" s="32" t="s">
        <v>87</v>
      </c>
      <c r="C68" s="30"/>
      <c r="D68" s="25"/>
      <c r="E68" s="31" t="s">
        <v>89</v>
      </c>
      <c r="F68" s="26">
        <f>530660</f>
        <v>530660</v>
      </c>
      <c r="G68" s="33">
        <f>552287.03-2.62</f>
        <v>552284.41</v>
      </c>
      <c r="H68" s="112">
        <f t="shared" si="1"/>
        <v>104.07500282666868</v>
      </c>
    </row>
    <row r="69" spans="2:8" s="27" customFormat="1" ht="30" customHeight="1">
      <c r="B69" s="32" t="s">
        <v>184</v>
      </c>
      <c r="C69" s="30"/>
      <c r="D69" s="25"/>
      <c r="E69" s="114" t="s">
        <v>239</v>
      </c>
      <c r="F69" s="26">
        <v>0</v>
      </c>
      <c r="G69" s="33">
        <v>0</v>
      </c>
      <c r="H69" s="112"/>
    </row>
    <row r="70" spans="2:8" s="27" customFormat="1" ht="30" customHeight="1">
      <c r="B70" s="289" t="s">
        <v>90</v>
      </c>
      <c r="C70" s="290"/>
      <c r="D70" s="291"/>
      <c r="E70" s="114" t="s">
        <v>91</v>
      </c>
      <c r="F70" s="26">
        <f>F71+F79+F82+F108+F122</f>
        <v>618318</v>
      </c>
      <c r="G70" s="206">
        <f>G71+G79+G82+G108+G122</f>
        <v>639532.41</v>
      </c>
      <c r="H70" s="112">
        <f t="shared" si="1"/>
        <v>103.43098696787089</v>
      </c>
    </row>
    <row r="71" spans="2:8" s="27" customFormat="1" ht="30" customHeight="1">
      <c r="B71" s="29" t="s">
        <v>84</v>
      </c>
      <c r="C71" s="30"/>
      <c r="D71" s="25"/>
      <c r="E71" s="114" t="s">
        <v>212</v>
      </c>
      <c r="F71" s="26">
        <f>F72</f>
        <v>9738</v>
      </c>
      <c r="G71" s="206">
        <f>G72</f>
        <v>9738</v>
      </c>
      <c r="H71" s="112">
        <f t="shared" si="1"/>
        <v>100</v>
      </c>
    </row>
    <row r="72" spans="2:8" s="27" customFormat="1" ht="30" customHeight="1">
      <c r="B72" s="29">
        <v>32</v>
      </c>
      <c r="C72" s="30"/>
      <c r="D72" s="25"/>
      <c r="E72" s="114" t="s">
        <v>4</v>
      </c>
      <c r="F72" s="26">
        <f>F73+F77</f>
        <v>9738</v>
      </c>
      <c r="G72" s="206">
        <f>G73+G77</f>
        <v>9738</v>
      </c>
      <c r="H72" s="112">
        <f t="shared" si="1"/>
        <v>100</v>
      </c>
    </row>
    <row r="73" spans="2:8" s="27" customFormat="1" ht="30" customHeight="1">
      <c r="B73" s="29"/>
      <c r="C73" s="30">
        <v>323</v>
      </c>
      <c r="D73" s="25"/>
      <c r="E73" s="114" t="s">
        <v>9</v>
      </c>
      <c r="F73" s="26">
        <v>9343</v>
      </c>
      <c r="G73" s="206">
        <f>SUM(G74:G76)</f>
        <v>9343</v>
      </c>
      <c r="H73" s="112">
        <f t="shared" si="1"/>
        <v>100</v>
      </c>
    </row>
    <row r="74" spans="2:8" s="27" customFormat="1" ht="30" customHeight="1">
      <c r="B74" s="29"/>
      <c r="C74" s="30"/>
      <c r="D74" s="25">
        <v>3231</v>
      </c>
      <c r="E74" s="114" t="s">
        <v>237</v>
      </c>
      <c r="F74" s="26"/>
      <c r="G74" s="206">
        <f>61.56+9259.5</f>
        <v>9321.06</v>
      </c>
      <c r="H74" s="112"/>
    </row>
    <row r="75" spans="2:8" s="27" customFormat="1" ht="30" customHeight="1">
      <c r="B75" s="29"/>
      <c r="C75" s="30"/>
      <c r="D75" s="25">
        <v>3234</v>
      </c>
      <c r="E75" s="114" t="s">
        <v>37</v>
      </c>
      <c r="F75" s="26"/>
      <c r="G75" s="206">
        <f>20.28</f>
        <v>20.28</v>
      </c>
      <c r="H75" s="112"/>
    </row>
    <row r="76" spans="2:8" s="27" customFormat="1" ht="30" customHeight="1">
      <c r="B76" s="29"/>
      <c r="C76" s="30"/>
      <c r="D76" s="25">
        <v>3238</v>
      </c>
      <c r="E76" s="114" t="s">
        <v>39</v>
      </c>
      <c r="F76" s="26"/>
      <c r="G76" s="206">
        <f>1.66</f>
        <v>1.66</v>
      </c>
      <c r="H76" s="112"/>
    </row>
    <row r="77" spans="2:8" s="27" customFormat="1" ht="30" customHeight="1">
      <c r="B77" s="29"/>
      <c r="C77" s="30">
        <v>329</v>
      </c>
      <c r="D77" s="25"/>
      <c r="E77" s="114" t="s">
        <v>11</v>
      </c>
      <c r="F77" s="26">
        <v>395</v>
      </c>
      <c r="G77" s="206">
        <f>G78</f>
        <v>395</v>
      </c>
      <c r="H77" s="112">
        <f t="shared" si="1"/>
        <v>100</v>
      </c>
    </row>
    <row r="78" spans="2:8" s="27" customFormat="1" ht="30" customHeight="1">
      <c r="B78" s="29"/>
      <c r="C78" s="30"/>
      <c r="D78" s="25">
        <v>3299</v>
      </c>
      <c r="E78" s="114" t="s">
        <v>10</v>
      </c>
      <c r="F78" s="26"/>
      <c r="G78" s="206">
        <f>395</f>
        <v>395</v>
      </c>
      <c r="H78" s="112"/>
    </row>
    <row r="79" spans="2:8" s="27" customFormat="1" ht="30" customHeight="1">
      <c r="B79" s="29" t="s">
        <v>223</v>
      </c>
      <c r="C79" s="30"/>
      <c r="D79" s="25"/>
      <c r="E79" s="114" t="s">
        <v>224</v>
      </c>
      <c r="F79" s="26">
        <f>F80</f>
        <v>410</v>
      </c>
      <c r="G79" s="206">
        <f>G80</f>
        <v>0</v>
      </c>
      <c r="H79" s="112">
        <f t="shared" si="1"/>
        <v>0</v>
      </c>
    </row>
    <row r="80" spans="2:8" s="27" customFormat="1" ht="30" customHeight="1">
      <c r="B80" s="29">
        <v>32</v>
      </c>
      <c r="C80" s="30"/>
      <c r="D80" s="25"/>
      <c r="E80" s="114" t="s">
        <v>4</v>
      </c>
      <c r="F80" s="26">
        <v>410</v>
      </c>
      <c r="G80" s="206">
        <f>G81</f>
        <v>0</v>
      </c>
      <c r="H80" s="112">
        <f t="shared" si="1"/>
        <v>0</v>
      </c>
    </row>
    <row r="81" spans="2:11" s="27" customFormat="1" ht="30" customHeight="1">
      <c r="B81" s="29"/>
      <c r="C81" s="30"/>
      <c r="D81" s="25">
        <v>329</v>
      </c>
      <c r="E81" s="114" t="s">
        <v>11</v>
      </c>
      <c r="F81" s="26"/>
      <c r="G81" s="206">
        <v>0</v>
      </c>
      <c r="H81" s="112"/>
    </row>
    <row r="82" spans="2:11" s="27" customFormat="1" ht="30" customHeight="1">
      <c r="B82" s="29" t="s">
        <v>86</v>
      </c>
      <c r="C82" s="30"/>
      <c r="D82" s="25"/>
      <c r="E82" s="114" t="s">
        <v>88</v>
      </c>
      <c r="F82" s="26">
        <f>F86+F105+F83</f>
        <v>77510</v>
      </c>
      <c r="G82" s="206">
        <f>G86+G105+G83</f>
        <v>77510</v>
      </c>
      <c r="H82" s="112">
        <f t="shared" si="1"/>
        <v>100</v>
      </c>
    </row>
    <row r="83" spans="2:11" s="27" customFormat="1" ht="30" customHeight="1">
      <c r="B83" s="29">
        <v>31</v>
      </c>
      <c r="C83" s="30"/>
      <c r="D83" s="25"/>
      <c r="E83" s="114" t="s">
        <v>0</v>
      </c>
      <c r="F83" s="26">
        <f>0</f>
        <v>0</v>
      </c>
      <c r="G83" s="206">
        <f>G84+G85</f>
        <v>0</v>
      </c>
      <c r="H83" s="112"/>
    </row>
    <row r="84" spans="2:11" s="27" customFormat="1" ht="30" customHeight="1">
      <c r="B84" s="29"/>
      <c r="C84" s="30"/>
      <c r="D84" s="25">
        <v>311</v>
      </c>
      <c r="E84" s="114" t="s">
        <v>1</v>
      </c>
      <c r="F84" s="26"/>
      <c r="G84" s="206">
        <v>0</v>
      </c>
      <c r="H84" s="112"/>
    </row>
    <row r="85" spans="2:11" s="27" customFormat="1" ht="30" customHeight="1">
      <c r="B85" s="29"/>
      <c r="C85" s="30"/>
      <c r="D85" s="25">
        <v>313</v>
      </c>
      <c r="E85" s="114" t="s">
        <v>3</v>
      </c>
      <c r="F85" s="26"/>
      <c r="G85" s="206">
        <v>0</v>
      </c>
      <c r="H85" s="112"/>
    </row>
    <row r="86" spans="2:11" s="27" customFormat="1" ht="30" customHeight="1">
      <c r="B86" s="29">
        <v>32</v>
      </c>
      <c r="C86" s="30"/>
      <c r="D86" s="25"/>
      <c r="E86" s="31" t="s">
        <v>4</v>
      </c>
      <c r="F86" s="26">
        <f>F87+F89+F94+F101</f>
        <v>77010</v>
      </c>
      <c r="G86" s="33">
        <f>G87+G89+G94+G101</f>
        <v>77010</v>
      </c>
      <c r="H86" s="112">
        <f t="shared" ref="H86:H142" si="2">G86/F86*100</f>
        <v>100</v>
      </c>
    </row>
    <row r="87" spans="2:11" s="27" customFormat="1" ht="30" customHeight="1">
      <c r="B87" s="29"/>
      <c r="C87" s="30">
        <v>321</v>
      </c>
      <c r="D87" s="25"/>
      <c r="E87" s="31" t="s">
        <v>5</v>
      </c>
      <c r="F87" s="26">
        <v>2000</v>
      </c>
      <c r="G87" s="33">
        <f>G88</f>
        <v>2000</v>
      </c>
      <c r="H87" s="112">
        <f t="shared" si="2"/>
        <v>100</v>
      </c>
    </row>
    <row r="88" spans="2:11" s="27" customFormat="1" ht="30" customHeight="1">
      <c r="B88" s="29"/>
      <c r="C88" s="30"/>
      <c r="D88" s="25">
        <v>3211</v>
      </c>
      <c r="E88" s="31" t="s">
        <v>25</v>
      </c>
      <c r="F88" s="26"/>
      <c r="G88" s="33">
        <f>701.56+303.6+994.84</f>
        <v>2000</v>
      </c>
      <c r="H88" s="112"/>
    </row>
    <row r="89" spans="2:11" s="27" customFormat="1" ht="30" customHeight="1">
      <c r="B89" s="29"/>
      <c r="C89" s="30">
        <v>322</v>
      </c>
      <c r="D89" s="25"/>
      <c r="E89" s="31" t="s">
        <v>7</v>
      </c>
      <c r="F89" s="26">
        <f>8300</f>
        <v>8300</v>
      </c>
      <c r="G89" s="33">
        <f>SUM(G90:G93)</f>
        <v>8300</v>
      </c>
      <c r="H89" s="112">
        <f t="shared" si="2"/>
        <v>100</v>
      </c>
    </row>
    <row r="90" spans="2:11" s="27" customFormat="1" ht="30" customHeight="1">
      <c r="B90" s="29"/>
      <c r="C90" s="30"/>
      <c r="D90" s="25">
        <v>3221</v>
      </c>
      <c r="E90" s="31" t="s">
        <v>8</v>
      </c>
      <c r="F90" s="26"/>
      <c r="G90" s="33">
        <f>706.57+302.46+261.32+818.39+14.74</f>
        <v>2103.4799999999996</v>
      </c>
      <c r="H90" s="112"/>
      <c r="K90" s="128"/>
    </row>
    <row r="91" spans="2:11" s="27" customFormat="1" ht="30" customHeight="1">
      <c r="B91" s="29"/>
      <c r="C91" s="30"/>
      <c r="D91" s="25">
        <v>3223</v>
      </c>
      <c r="E91" s="31" t="s">
        <v>29</v>
      </c>
      <c r="F91" s="26"/>
      <c r="G91" s="33">
        <v>3519.5</v>
      </c>
      <c r="H91" s="112"/>
      <c r="K91" s="128"/>
    </row>
    <row r="92" spans="2:11" s="27" customFormat="1" ht="30" customHeight="1">
      <c r="B92" s="29"/>
      <c r="C92" s="30"/>
      <c r="D92" s="25">
        <v>3224</v>
      </c>
      <c r="E92" s="31" t="s">
        <v>31</v>
      </c>
      <c r="F92" s="26"/>
      <c r="G92" s="33">
        <f>513.89+253.79</f>
        <v>767.68</v>
      </c>
      <c r="H92" s="112"/>
    </row>
    <row r="93" spans="2:11" s="27" customFormat="1" ht="30" customHeight="1">
      <c r="B93" s="29"/>
      <c r="C93" s="30"/>
      <c r="D93" s="25">
        <v>3225</v>
      </c>
      <c r="E93" s="31" t="s">
        <v>49</v>
      </c>
      <c r="F93" s="26"/>
      <c r="G93" s="33">
        <v>1909.34</v>
      </c>
      <c r="H93" s="112"/>
    </row>
    <row r="94" spans="2:11" s="27" customFormat="1" ht="30" customHeight="1">
      <c r="B94" s="29"/>
      <c r="C94" s="30">
        <v>323</v>
      </c>
      <c r="D94" s="25"/>
      <c r="E94" s="31" t="s">
        <v>9</v>
      </c>
      <c r="F94" s="26">
        <f>66210</f>
        <v>66210</v>
      </c>
      <c r="G94" s="33">
        <f>SUM(G95:G100)</f>
        <v>66210</v>
      </c>
      <c r="H94" s="112">
        <f t="shared" si="2"/>
        <v>100</v>
      </c>
    </row>
    <row r="95" spans="2:11" s="27" customFormat="1" ht="30" customHeight="1">
      <c r="B95" s="29"/>
      <c r="C95" s="30"/>
      <c r="D95" s="25">
        <v>3231</v>
      </c>
      <c r="E95" s="31" t="s">
        <v>33</v>
      </c>
      <c r="F95" s="26"/>
      <c r="G95" s="33">
        <f>683.9+128.08+56549.99</f>
        <v>57361.97</v>
      </c>
      <c r="H95" s="112"/>
    </row>
    <row r="96" spans="2:11" s="27" customFormat="1" ht="30" customHeight="1">
      <c r="B96" s="29"/>
      <c r="C96" s="30"/>
      <c r="D96" s="25">
        <v>3232</v>
      </c>
      <c r="E96" s="31" t="s">
        <v>35</v>
      </c>
      <c r="F96" s="26"/>
      <c r="G96" s="33">
        <f>2038.13</f>
        <v>2038.13</v>
      </c>
      <c r="H96" s="112"/>
    </row>
    <row r="97" spans="2:8" s="27" customFormat="1" ht="30" customHeight="1">
      <c r="B97" s="29"/>
      <c r="C97" s="30"/>
      <c r="D97" s="25">
        <v>3234</v>
      </c>
      <c r="E97" s="31" t="s">
        <v>37</v>
      </c>
      <c r="F97" s="26"/>
      <c r="G97" s="33">
        <f>1009.15+664.92+142.75+694.09+713.08</f>
        <v>3223.99</v>
      </c>
      <c r="H97" s="112"/>
    </row>
    <row r="98" spans="2:8" s="27" customFormat="1" ht="30" customHeight="1">
      <c r="B98" s="29"/>
      <c r="C98" s="30"/>
      <c r="D98" s="25">
        <v>3236</v>
      </c>
      <c r="E98" s="31" t="s">
        <v>225</v>
      </c>
      <c r="F98" s="26"/>
      <c r="G98" s="33">
        <v>1274.1600000000001</v>
      </c>
      <c r="H98" s="112"/>
    </row>
    <row r="99" spans="2:8" s="27" customFormat="1" ht="30" customHeight="1">
      <c r="B99" s="29"/>
      <c r="C99" s="30"/>
      <c r="D99" s="25">
        <v>3237</v>
      </c>
      <c r="E99" s="31" t="s">
        <v>50</v>
      </c>
      <c r="F99" s="26"/>
      <c r="G99" s="33">
        <f>98.25</f>
        <v>98.25</v>
      </c>
      <c r="H99" s="112"/>
    </row>
    <row r="100" spans="2:8" s="27" customFormat="1" ht="30" customHeight="1">
      <c r="B100" s="29"/>
      <c r="C100" s="30"/>
      <c r="D100" s="25">
        <v>3238</v>
      </c>
      <c r="E100" s="70" t="s">
        <v>39</v>
      </c>
      <c r="F100" s="26"/>
      <c r="G100" s="33">
        <f>2213.5</f>
        <v>2213.5</v>
      </c>
      <c r="H100" s="112"/>
    </row>
    <row r="101" spans="2:8" s="27" customFormat="1" ht="30" customHeight="1">
      <c r="B101" s="29"/>
      <c r="C101" s="30">
        <v>329</v>
      </c>
      <c r="D101" s="25"/>
      <c r="E101" s="128" t="s">
        <v>11</v>
      </c>
      <c r="F101" s="26">
        <v>500</v>
      </c>
      <c r="G101" s="33">
        <f>SUM(G102:G104)</f>
        <v>500</v>
      </c>
      <c r="H101" s="112">
        <f t="shared" si="2"/>
        <v>100</v>
      </c>
    </row>
    <row r="102" spans="2:8" s="27" customFormat="1" ht="30" customHeight="1">
      <c r="B102" s="29"/>
      <c r="C102" s="30"/>
      <c r="D102" s="25">
        <v>3293</v>
      </c>
      <c r="E102" s="31" t="s">
        <v>203</v>
      </c>
      <c r="F102" s="26"/>
      <c r="G102" s="33">
        <v>190</v>
      </c>
      <c r="H102" s="112"/>
    </row>
    <row r="103" spans="2:8" s="27" customFormat="1" ht="30" customHeight="1">
      <c r="B103" s="29"/>
      <c r="C103" s="30"/>
      <c r="D103" s="25">
        <v>3294</v>
      </c>
      <c r="E103" s="31" t="s">
        <v>51</v>
      </c>
      <c r="F103" s="26"/>
      <c r="G103" s="33">
        <f>53.09</f>
        <v>53.09</v>
      </c>
      <c r="H103" s="112"/>
    </row>
    <row r="104" spans="2:8" s="27" customFormat="1" ht="30" customHeight="1">
      <c r="B104" s="29"/>
      <c r="C104" s="30"/>
      <c r="D104" s="25">
        <v>3299</v>
      </c>
      <c r="E104" s="31" t="s">
        <v>11</v>
      </c>
      <c r="F104" s="26"/>
      <c r="G104" s="33">
        <f>256.91</f>
        <v>256.91000000000003</v>
      </c>
      <c r="H104" s="112"/>
    </row>
    <row r="105" spans="2:8" s="27" customFormat="1" ht="30" customHeight="1">
      <c r="B105" s="29">
        <v>34</v>
      </c>
      <c r="C105" s="30"/>
      <c r="D105" s="25"/>
      <c r="E105" s="31" t="s">
        <v>12</v>
      </c>
      <c r="F105" s="26">
        <f>F106</f>
        <v>500</v>
      </c>
      <c r="G105" s="33">
        <f>G106</f>
        <v>500</v>
      </c>
      <c r="H105" s="112">
        <f t="shared" si="2"/>
        <v>100</v>
      </c>
    </row>
    <row r="106" spans="2:8" s="27" customFormat="1" ht="30" customHeight="1">
      <c r="B106" s="29"/>
      <c r="C106" s="30">
        <v>343</v>
      </c>
      <c r="D106" s="25"/>
      <c r="E106" s="31" t="s">
        <v>13</v>
      </c>
      <c r="F106" s="26">
        <v>500</v>
      </c>
      <c r="G106" s="33">
        <f>G107</f>
        <v>500</v>
      </c>
      <c r="H106" s="112">
        <f t="shared" si="2"/>
        <v>100</v>
      </c>
    </row>
    <row r="107" spans="2:8" s="27" customFormat="1" ht="30" customHeight="1">
      <c r="B107" s="29"/>
      <c r="C107" s="30"/>
      <c r="D107" s="25">
        <v>3431</v>
      </c>
      <c r="E107" s="31" t="s">
        <v>44</v>
      </c>
      <c r="F107" s="26"/>
      <c r="G107" s="33">
        <v>500</v>
      </c>
      <c r="H107" s="112"/>
    </row>
    <row r="108" spans="2:8" s="27" customFormat="1" ht="30" customHeight="1">
      <c r="B108" s="29" t="s">
        <v>87</v>
      </c>
      <c r="C108" s="30"/>
      <c r="D108" s="25"/>
      <c r="E108" s="31" t="s">
        <v>233</v>
      </c>
      <c r="F108" s="26">
        <f>F109+F117</f>
        <v>530660</v>
      </c>
      <c r="G108" s="33">
        <f>G109+G117</f>
        <v>552284.41</v>
      </c>
      <c r="H108" s="112">
        <f t="shared" si="2"/>
        <v>104.07500282666868</v>
      </c>
    </row>
    <row r="109" spans="2:8" s="27" customFormat="1" ht="30" customHeight="1">
      <c r="B109" s="29">
        <v>31</v>
      </c>
      <c r="C109" s="30"/>
      <c r="D109" s="25"/>
      <c r="E109" s="31" t="s">
        <v>0</v>
      </c>
      <c r="F109" s="26">
        <f>F110+F113+F115</f>
        <v>487560</v>
      </c>
      <c r="G109" s="33">
        <f>G110+G113+G115</f>
        <v>507132.92</v>
      </c>
      <c r="H109" s="112">
        <f t="shared" si="2"/>
        <v>104.01446386085816</v>
      </c>
    </row>
    <row r="110" spans="2:8" s="27" customFormat="1" ht="30" customHeight="1">
      <c r="B110" s="29"/>
      <c r="C110" s="30">
        <v>311</v>
      </c>
      <c r="D110" s="25"/>
      <c r="E110" s="31" t="s">
        <v>243</v>
      </c>
      <c r="F110" s="26">
        <v>406000</v>
      </c>
      <c r="G110" s="33">
        <f>G111+G112</f>
        <v>420747.67</v>
      </c>
      <c r="H110" s="112">
        <f t="shared" si="2"/>
        <v>103.63243103448276</v>
      </c>
    </row>
    <row r="111" spans="2:8" s="27" customFormat="1" ht="30" customHeight="1">
      <c r="B111" s="29"/>
      <c r="C111" s="30"/>
      <c r="D111" s="25">
        <v>3111</v>
      </c>
      <c r="E111" s="31" t="s">
        <v>22</v>
      </c>
      <c r="F111" s="26"/>
      <c r="G111" s="33">
        <f>414857.01</f>
        <v>414857.01</v>
      </c>
      <c r="H111" s="112"/>
    </row>
    <row r="112" spans="2:8" s="27" customFormat="1" ht="30" customHeight="1">
      <c r="B112" s="29"/>
      <c r="C112" s="30"/>
      <c r="D112" s="25">
        <v>3114</v>
      </c>
      <c r="E112" s="31" t="s">
        <v>171</v>
      </c>
      <c r="F112" s="26"/>
      <c r="G112" s="33">
        <f>5890.66</f>
        <v>5890.66</v>
      </c>
      <c r="H112" s="112"/>
    </row>
    <row r="113" spans="2:8" s="27" customFormat="1" ht="30" customHeight="1">
      <c r="B113" s="29"/>
      <c r="C113" s="30">
        <v>312</v>
      </c>
      <c r="D113" s="25"/>
      <c r="E113" s="31" t="s">
        <v>172</v>
      </c>
      <c r="F113" s="26">
        <v>16400</v>
      </c>
      <c r="G113" s="33">
        <f>G114</f>
        <v>17153.98</v>
      </c>
      <c r="H113" s="112">
        <f t="shared" si="2"/>
        <v>104.59743902439025</v>
      </c>
    </row>
    <row r="114" spans="2:8" s="27" customFormat="1" ht="30" customHeight="1">
      <c r="B114" s="29"/>
      <c r="C114" s="30"/>
      <c r="D114" s="25">
        <v>3121</v>
      </c>
      <c r="E114" s="31" t="s">
        <v>172</v>
      </c>
      <c r="F114" s="26"/>
      <c r="G114" s="33">
        <f>17153.98</f>
        <v>17153.98</v>
      </c>
      <c r="H114" s="112"/>
    </row>
    <row r="115" spans="2:8" s="27" customFormat="1" ht="30" customHeight="1">
      <c r="B115" s="29"/>
      <c r="C115" s="30">
        <v>313</v>
      </c>
      <c r="D115" s="25"/>
      <c r="E115" s="31" t="s">
        <v>3</v>
      </c>
      <c r="F115" s="26">
        <v>65160</v>
      </c>
      <c r="G115" s="33">
        <f>G116</f>
        <v>69231.27</v>
      </c>
      <c r="H115" s="112">
        <f t="shared" si="2"/>
        <v>106.24811233885821</v>
      </c>
    </row>
    <row r="116" spans="2:8" s="27" customFormat="1" ht="30" customHeight="1">
      <c r="B116" s="29"/>
      <c r="C116" s="30"/>
      <c r="D116" s="25">
        <v>3132</v>
      </c>
      <c r="E116" s="31" t="s">
        <v>173</v>
      </c>
      <c r="F116" s="26"/>
      <c r="G116" s="33">
        <v>69231.27</v>
      </c>
      <c r="H116" s="112"/>
    </row>
    <row r="117" spans="2:8" s="27" customFormat="1" ht="30" customHeight="1">
      <c r="B117" s="29">
        <v>32</v>
      </c>
      <c r="C117" s="30"/>
      <c r="D117" s="25"/>
      <c r="E117" s="31" t="s">
        <v>4</v>
      </c>
      <c r="F117" s="26">
        <f>F118+F120</f>
        <v>43100</v>
      </c>
      <c r="G117" s="33">
        <f>G118+G120</f>
        <v>45151.49</v>
      </c>
      <c r="H117" s="112">
        <f t="shared" si="2"/>
        <v>104.75983758700696</v>
      </c>
    </row>
    <row r="118" spans="2:8" s="27" customFormat="1" ht="30" customHeight="1">
      <c r="B118" s="29"/>
      <c r="C118" s="30">
        <v>321</v>
      </c>
      <c r="D118" s="25"/>
      <c r="E118" s="31" t="s">
        <v>5</v>
      </c>
      <c r="F118" s="26">
        <v>42500</v>
      </c>
      <c r="G118" s="33">
        <f>G119</f>
        <v>44431.49</v>
      </c>
      <c r="H118" s="112">
        <f t="shared" si="2"/>
        <v>104.54468235294117</v>
      </c>
    </row>
    <row r="119" spans="2:8" s="27" customFormat="1" ht="30" customHeight="1">
      <c r="B119" s="29"/>
      <c r="C119" s="30"/>
      <c r="D119" s="25">
        <v>3212</v>
      </c>
      <c r="E119" s="31" t="s">
        <v>186</v>
      </c>
      <c r="F119" s="26"/>
      <c r="G119" s="234">
        <f>44434.11-2.62</f>
        <v>44431.49</v>
      </c>
      <c r="H119" s="112"/>
    </row>
    <row r="120" spans="2:8" s="27" customFormat="1" ht="30" customHeight="1">
      <c r="B120" s="29"/>
      <c r="C120" s="30">
        <v>324</v>
      </c>
      <c r="D120" s="25"/>
      <c r="E120" s="31" t="s">
        <v>201</v>
      </c>
      <c r="F120" s="26">
        <v>600</v>
      </c>
      <c r="G120" s="33">
        <f>G121</f>
        <v>720</v>
      </c>
      <c r="H120" s="112">
        <f t="shared" si="2"/>
        <v>120</v>
      </c>
    </row>
    <row r="121" spans="2:8" s="27" customFormat="1" ht="30" customHeight="1">
      <c r="B121" s="29"/>
      <c r="C121" s="30"/>
      <c r="D121" s="25">
        <v>3241</v>
      </c>
      <c r="E121" s="31" t="s">
        <v>201</v>
      </c>
      <c r="F121" s="26"/>
      <c r="G121" s="33">
        <v>720</v>
      </c>
      <c r="H121" s="112"/>
    </row>
    <row r="122" spans="2:8" s="27" customFormat="1" ht="30" customHeight="1">
      <c r="B122" s="29" t="s">
        <v>184</v>
      </c>
      <c r="C122" s="30"/>
      <c r="D122" s="25"/>
      <c r="E122" s="31" t="s">
        <v>238</v>
      </c>
      <c r="F122" s="26">
        <f>F123+F125</f>
        <v>0</v>
      </c>
      <c r="G122" s="33">
        <f>G123+G125</f>
        <v>0</v>
      </c>
      <c r="H122" s="112"/>
    </row>
    <row r="123" spans="2:8" s="27" customFormat="1" ht="30" customHeight="1">
      <c r="B123" s="29">
        <v>31</v>
      </c>
      <c r="C123" s="30"/>
      <c r="D123" s="25"/>
      <c r="E123" s="31" t="s">
        <v>0</v>
      </c>
      <c r="F123" s="26">
        <v>0</v>
      </c>
      <c r="G123" s="33">
        <f>G124</f>
        <v>0</v>
      </c>
      <c r="H123" s="112"/>
    </row>
    <row r="124" spans="2:8" s="27" customFormat="1" ht="30" customHeight="1">
      <c r="B124" s="29"/>
      <c r="C124" s="30"/>
      <c r="D124" s="25">
        <v>312</v>
      </c>
      <c r="E124" s="31" t="s">
        <v>172</v>
      </c>
      <c r="F124" s="26"/>
      <c r="G124" s="33">
        <v>0</v>
      </c>
      <c r="H124" s="112"/>
    </row>
    <row r="125" spans="2:8" s="27" customFormat="1" ht="30" customHeight="1">
      <c r="B125" s="29">
        <v>32</v>
      </c>
      <c r="C125" s="30"/>
      <c r="D125" s="25"/>
      <c r="E125" s="31" t="s">
        <v>4</v>
      </c>
      <c r="F125" s="26">
        <v>0</v>
      </c>
      <c r="G125" s="33">
        <f>G126</f>
        <v>0</v>
      </c>
      <c r="H125" s="112"/>
    </row>
    <row r="126" spans="2:8" s="27" customFormat="1" ht="30" customHeight="1">
      <c r="B126" s="29"/>
      <c r="C126" s="30"/>
      <c r="D126" s="25">
        <v>329</v>
      </c>
      <c r="E126" s="31" t="s">
        <v>11</v>
      </c>
      <c r="F126" s="26"/>
      <c r="G126" s="33">
        <v>0</v>
      </c>
      <c r="H126" s="112"/>
    </row>
    <row r="127" spans="2:8" s="27" customFormat="1" ht="30" customHeight="1">
      <c r="B127" s="289" t="s">
        <v>92</v>
      </c>
      <c r="C127" s="290"/>
      <c r="D127" s="291"/>
      <c r="E127" s="31" t="s">
        <v>93</v>
      </c>
      <c r="F127" s="26">
        <f t="shared" ref="F127:G129" si="3">F128</f>
        <v>32500</v>
      </c>
      <c r="G127" s="33">
        <f t="shared" si="3"/>
        <v>32500</v>
      </c>
      <c r="H127" s="112">
        <f t="shared" si="2"/>
        <v>100</v>
      </c>
    </row>
    <row r="128" spans="2:8" s="27" customFormat="1" ht="30" customHeight="1">
      <c r="B128" s="140" t="s">
        <v>86</v>
      </c>
      <c r="C128" s="141"/>
      <c r="D128" s="142"/>
      <c r="E128" s="143" t="s">
        <v>88</v>
      </c>
      <c r="F128" s="144">
        <f t="shared" si="3"/>
        <v>32500</v>
      </c>
      <c r="G128" s="145">
        <f t="shared" si="3"/>
        <v>32500</v>
      </c>
      <c r="H128" s="112">
        <f t="shared" si="2"/>
        <v>100</v>
      </c>
    </row>
    <row r="129" spans="2:10" s="27" customFormat="1" ht="30" customHeight="1">
      <c r="B129" s="140">
        <v>45</v>
      </c>
      <c r="C129" s="141"/>
      <c r="D129" s="142"/>
      <c r="E129" s="143" t="s">
        <v>57</v>
      </c>
      <c r="F129" s="144">
        <f t="shared" si="3"/>
        <v>32500</v>
      </c>
      <c r="G129" s="145">
        <f t="shared" si="3"/>
        <v>32500</v>
      </c>
      <c r="H129" s="112">
        <f t="shared" si="2"/>
        <v>100</v>
      </c>
    </row>
    <row r="130" spans="2:10" s="27" customFormat="1" ht="30" customHeight="1">
      <c r="B130" s="140"/>
      <c r="C130" s="141">
        <v>451</v>
      </c>
      <c r="D130" s="142"/>
      <c r="E130" s="143" t="s">
        <v>58</v>
      </c>
      <c r="F130" s="144">
        <v>32500</v>
      </c>
      <c r="G130" s="145">
        <f>G131</f>
        <v>32500</v>
      </c>
      <c r="H130" s="112">
        <f t="shared" si="2"/>
        <v>100</v>
      </c>
    </row>
    <row r="131" spans="2:10" s="27" customFormat="1" ht="30" customHeight="1" thickBot="1">
      <c r="B131" s="140"/>
      <c r="C131" s="141"/>
      <c r="D131" s="142">
        <v>4511</v>
      </c>
      <c r="E131" s="143" t="s">
        <v>58</v>
      </c>
      <c r="F131" s="144"/>
      <c r="G131" s="145">
        <v>32500</v>
      </c>
      <c r="H131" s="186"/>
    </row>
    <row r="132" spans="2:10" s="27" customFormat="1" ht="30" customHeight="1" thickBot="1">
      <c r="B132" s="297" t="s">
        <v>95</v>
      </c>
      <c r="C132" s="298"/>
      <c r="D132" s="299"/>
      <c r="E132" s="190" t="s">
        <v>96</v>
      </c>
      <c r="F132" s="191">
        <f>F133+F138+F134+F135+F137+F136</f>
        <v>88726</v>
      </c>
      <c r="G132" s="191">
        <f>G133+G138+G134+G135+G137+G136</f>
        <v>97997.89</v>
      </c>
      <c r="H132" s="192">
        <f t="shared" si="2"/>
        <v>110.4470730112932</v>
      </c>
      <c r="J132" s="34"/>
    </row>
    <row r="133" spans="2:10" s="27" customFormat="1" ht="30" customHeight="1">
      <c r="B133" s="300" t="s">
        <v>84</v>
      </c>
      <c r="C133" s="301"/>
      <c r="D133" s="302"/>
      <c r="E133" s="188" t="s">
        <v>85</v>
      </c>
      <c r="F133" s="189">
        <f>7141+7022</f>
        <v>14163</v>
      </c>
      <c r="G133" s="189">
        <f>7140.35+6995.94</f>
        <v>14136.29</v>
      </c>
      <c r="H133" s="139">
        <f t="shared" si="2"/>
        <v>99.811410012003108</v>
      </c>
    </row>
    <row r="134" spans="2:10" s="27" customFormat="1" ht="30" customHeight="1">
      <c r="B134" s="29" t="s">
        <v>221</v>
      </c>
      <c r="C134" s="30"/>
      <c r="D134" s="25"/>
      <c r="E134" s="25" t="s">
        <v>222</v>
      </c>
      <c r="F134" s="33">
        <f>17830</f>
        <v>17830</v>
      </c>
      <c r="G134" s="33">
        <f>35926.62</f>
        <v>35926.620000000003</v>
      </c>
      <c r="H134" s="112">
        <f t="shared" si="2"/>
        <v>201.49534492428495</v>
      </c>
    </row>
    <row r="135" spans="2:10" s="27" customFormat="1" ht="30" customHeight="1">
      <c r="B135" s="29" t="s">
        <v>97</v>
      </c>
      <c r="C135" s="30"/>
      <c r="D135" s="25"/>
      <c r="E135" s="28" t="s">
        <v>98</v>
      </c>
      <c r="F135" s="33">
        <f>7500+500</f>
        <v>8000</v>
      </c>
      <c r="G135" s="33">
        <f>2265.3</f>
        <v>2265.3000000000002</v>
      </c>
      <c r="H135" s="112">
        <f t="shared" si="2"/>
        <v>28.316250000000004</v>
      </c>
    </row>
    <row r="136" spans="2:10" s="27" customFormat="1" ht="30" customHeight="1">
      <c r="B136" s="29" t="s">
        <v>223</v>
      </c>
      <c r="C136" s="30"/>
      <c r="D136" s="25"/>
      <c r="E136" s="28" t="s">
        <v>224</v>
      </c>
      <c r="F136" s="33">
        <v>0</v>
      </c>
      <c r="G136" s="33">
        <v>0</v>
      </c>
      <c r="H136" s="112"/>
    </row>
    <row r="137" spans="2:10" s="27" customFormat="1" ht="30" customHeight="1">
      <c r="B137" s="29" t="s">
        <v>217</v>
      </c>
      <c r="C137" s="30"/>
      <c r="D137" s="25"/>
      <c r="E137" s="28" t="s">
        <v>218</v>
      </c>
      <c r="F137" s="26">
        <f>21068</f>
        <v>21068</v>
      </c>
      <c r="G137" s="33">
        <f>20985.22+2.62</f>
        <v>20987.84</v>
      </c>
      <c r="H137" s="112">
        <f t="shared" si="2"/>
        <v>99.619517752041006</v>
      </c>
    </row>
    <row r="138" spans="2:10" s="27" customFormat="1" ht="30" customHeight="1">
      <c r="B138" s="289" t="s">
        <v>87</v>
      </c>
      <c r="C138" s="290"/>
      <c r="D138" s="291"/>
      <c r="E138" s="28" t="s">
        <v>89</v>
      </c>
      <c r="F138" s="26">
        <f>2500+6480+18500+185</f>
        <v>27665</v>
      </c>
      <c r="G138" s="33">
        <f>4752.98+1988+17756.36+184.5</f>
        <v>24681.84</v>
      </c>
      <c r="H138" s="112">
        <f t="shared" si="2"/>
        <v>89.21684438821616</v>
      </c>
    </row>
    <row r="139" spans="2:10" s="27" customFormat="1" ht="30" customHeight="1">
      <c r="B139" s="289" t="s">
        <v>99</v>
      </c>
      <c r="C139" s="290"/>
      <c r="D139" s="291"/>
      <c r="E139" s="25" t="s">
        <v>100</v>
      </c>
      <c r="F139" s="26">
        <f t="shared" ref="F139:G141" si="4">F140</f>
        <v>7141</v>
      </c>
      <c r="G139" s="33">
        <f t="shared" si="4"/>
        <v>7140.35</v>
      </c>
      <c r="H139" s="112">
        <f t="shared" si="2"/>
        <v>99.990897633384691</v>
      </c>
    </row>
    <row r="140" spans="2:10" s="27" customFormat="1" ht="30" customHeight="1">
      <c r="B140" s="29" t="s">
        <v>84</v>
      </c>
      <c r="C140" s="141"/>
      <c r="D140" s="142"/>
      <c r="E140" s="25" t="s">
        <v>212</v>
      </c>
      <c r="F140" s="26">
        <f t="shared" si="4"/>
        <v>7141</v>
      </c>
      <c r="G140" s="33">
        <f t="shared" si="4"/>
        <v>7140.35</v>
      </c>
      <c r="H140" s="112">
        <f t="shared" si="2"/>
        <v>99.990897633384691</v>
      </c>
    </row>
    <row r="141" spans="2:10" s="27" customFormat="1" ht="30" customHeight="1">
      <c r="B141" s="309">
        <v>37</v>
      </c>
      <c r="C141" s="310"/>
      <c r="D141" s="310"/>
      <c r="E141" s="28" t="s">
        <v>101</v>
      </c>
      <c r="F141" s="26">
        <f t="shared" si="4"/>
        <v>7141</v>
      </c>
      <c r="G141" s="33">
        <f t="shared" si="4"/>
        <v>7140.35</v>
      </c>
      <c r="H141" s="112">
        <f t="shared" si="2"/>
        <v>99.990897633384691</v>
      </c>
    </row>
    <row r="142" spans="2:10" s="27" customFormat="1" ht="30" customHeight="1">
      <c r="B142" s="29"/>
      <c r="C142" s="141">
        <v>372</v>
      </c>
      <c r="D142" s="142"/>
      <c r="E142" s="31" t="s">
        <v>136</v>
      </c>
      <c r="F142" s="26">
        <v>7141</v>
      </c>
      <c r="G142" s="33">
        <f>G143</f>
        <v>7140.35</v>
      </c>
      <c r="H142" s="112">
        <f t="shared" si="2"/>
        <v>99.990897633384691</v>
      </c>
    </row>
    <row r="143" spans="2:10" s="27" customFormat="1" ht="30" customHeight="1">
      <c r="B143" s="146"/>
      <c r="C143" s="147"/>
      <c r="D143" s="25">
        <v>3722</v>
      </c>
      <c r="E143" s="31" t="s">
        <v>54</v>
      </c>
      <c r="F143" s="26"/>
      <c r="G143" s="33">
        <v>7140.35</v>
      </c>
      <c r="H143" s="112"/>
    </row>
    <row r="144" spans="2:10" s="27" customFormat="1" ht="30" customHeight="1">
      <c r="B144" s="289" t="s">
        <v>245</v>
      </c>
      <c r="C144" s="290"/>
      <c r="D144" s="291"/>
      <c r="E144" s="31" t="s">
        <v>246</v>
      </c>
      <c r="F144" s="26">
        <f>F145</f>
        <v>0</v>
      </c>
      <c r="G144" s="33">
        <f>G145</f>
        <v>0</v>
      </c>
      <c r="H144" s="112"/>
    </row>
    <row r="145" spans="2:8" s="27" customFormat="1" ht="30" customHeight="1">
      <c r="B145" s="146" t="s">
        <v>84</v>
      </c>
      <c r="C145" s="147"/>
      <c r="D145" s="25"/>
      <c r="E145" s="31" t="s">
        <v>212</v>
      </c>
      <c r="F145" s="26">
        <f>F146+F148</f>
        <v>0</v>
      </c>
      <c r="G145" s="33">
        <f>G146+G148</f>
        <v>0</v>
      </c>
      <c r="H145" s="112"/>
    </row>
    <row r="146" spans="2:8" s="27" customFormat="1" ht="30" customHeight="1">
      <c r="B146" s="29">
        <v>31</v>
      </c>
      <c r="C146" s="147"/>
      <c r="D146" s="25"/>
      <c r="E146" s="31" t="s">
        <v>0</v>
      </c>
      <c r="F146" s="26">
        <f>F147</f>
        <v>0</v>
      </c>
      <c r="G146" s="33">
        <f>G147</f>
        <v>0</v>
      </c>
      <c r="H146" s="112"/>
    </row>
    <row r="147" spans="2:8" s="27" customFormat="1" ht="30" customHeight="1">
      <c r="B147" s="146"/>
      <c r="C147" s="147">
        <v>311</v>
      </c>
      <c r="D147" s="25"/>
      <c r="E147" s="31" t="s">
        <v>243</v>
      </c>
      <c r="F147" s="26">
        <v>0</v>
      </c>
      <c r="G147" s="33">
        <v>0</v>
      </c>
      <c r="H147" s="112"/>
    </row>
    <row r="148" spans="2:8" s="27" customFormat="1" ht="30" customHeight="1">
      <c r="B148" s="29">
        <v>32</v>
      </c>
      <c r="C148" s="147"/>
      <c r="D148" s="25"/>
      <c r="E148" s="31" t="s">
        <v>4</v>
      </c>
      <c r="F148" s="26">
        <f>F149+F150</f>
        <v>0</v>
      </c>
      <c r="G148" s="33">
        <f>G149+G150</f>
        <v>0</v>
      </c>
      <c r="H148" s="112"/>
    </row>
    <row r="149" spans="2:8" s="27" customFormat="1" ht="30" customHeight="1">
      <c r="B149" s="146"/>
      <c r="C149" s="147">
        <v>321</v>
      </c>
      <c r="D149" s="25"/>
      <c r="E149" s="31" t="s">
        <v>5</v>
      </c>
      <c r="F149" s="26">
        <v>0</v>
      </c>
      <c r="G149" s="33">
        <v>0</v>
      </c>
      <c r="H149" s="112"/>
    </row>
    <row r="150" spans="2:8" s="27" customFormat="1" ht="30" customHeight="1">
      <c r="B150" s="146"/>
      <c r="C150" s="147">
        <v>322</v>
      </c>
      <c r="D150" s="25"/>
      <c r="E150" s="31" t="s">
        <v>7</v>
      </c>
      <c r="F150" s="26">
        <v>0</v>
      </c>
      <c r="G150" s="33">
        <v>0</v>
      </c>
      <c r="H150" s="112"/>
    </row>
    <row r="151" spans="2:8" ht="30" customHeight="1">
      <c r="B151" s="289" t="s">
        <v>102</v>
      </c>
      <c r="C151" s="290"/>
      <c r="D151" s="291"/>
      <c r="E151" s="28" t="s">
        <v>103</v>
      </c>
      <c r="F151" s="26">
        <f t="shared" ref="F151:G153" si="5">F152</f>
        <v>2500</v>
      </c>
      <c r="G151" s="33">
        <f t="shared" si="5"/>
        <v>4752.9799999999996</v>
      </c>
      <c r="H151" s="112">
        <f t="shared" ref="H151:H212" si="6">G151/F151*100</f>
        <v>190.11919999999998</v>
      </c>
    </row>
    <row r="152" spans="2:8" ht="30" customHeight="1">
      <c r="B152" s="29" t="s">
        <v>87</v>
      </c>
      <c r="C152" s="30"/>
      <c r="D152" s="25"/>
      <c r="E152" s="28" t="s">
        <v>233</v>
      </c>
      <c r="F152" s="26">
        <f t="shared" si="5"/>
        <v>2500</v>
      </c>
      <c r="G152" s="33">
        <f t="shared" si="5"/>
        <v>4752.9799999999996</v>
      </c>
      <c r="H152" s="112">
        <f t="shared" si="6"/>
        <v>190.11919999999998</v>
      </c>
    </row>
    <row r="153" spans="2:8" ht="30" customHeight="1">
      <c r="B153" s="289">
        <v>42</v>
      </c>
      <c r="C153" s="290"/>
      <c r="D153" s="291"/>
      <c r="E153" s="28" t="s">
        <v>94</v>
      </c>
      <c r="F153" s="26">
        <f t="shared" si="5"/>
        <v>2500</v>
      </c>
      <c r="G153" s="33">
        <f t="shared" si="5"/>
        <v>4752.9799999999996</v>
      </c>
      <c r="H153" s="112">
        <f t="shared" si="6"/>
        <v>190.11919999999998</v>
      </c>
    </row>
    <row r="154" spans="2:8" ht="30" customHeight="1">
      <c r="B154" s="29"/>
      <c r="C154" s="30">
        <v>424</v>
      </c>
      <c r="D154" s="25"/>
      <c r="E154" s="28" t="s">
        <v>244</v>
      </c>
      <c r="F154" s="26">
        <v>2500</v>
      </c>
      <c r="G154" s="33">
        <f>G155</f>
        <v>4752.9799999999996</v>
      </c>
      <c r="H154" s="112">
        <f t="shared" si="6"/>
        <v>190.11919999999998</v>
      </c>
    </row>
    <row r="155" spans="2:8" ht="30" customHeight="1">
      <c r="B155" s="29"/>
      <c r="C155" s="30"/>
      <c r="D155" s="25">
        <v>4241</v>
      </c>
      <c r="E155" s="28" t="s">
        <v>53</v>
      </c>
      <c r="F155" s="26"/>
      <c r="G155" s="33">
        <v>4752.9799999999996</v>
      </c>
      <c r="H155" s="112"/>
    </row>
    <row r="156" spans="2:8" ht="30" customHeight="1">
      <c r="B156" s="289" t="s">
        <v>226</v>
      </c>
      <c r="C156" s="290"/>
      <c r="D156" s="291"/>
      <c r="E156" s="28" t="s">
        <v>227</v>
      </c>
      <c r="F156" s="26">
        <f>F157</f>
        <v>6480</v>
      </c>
      <c r="G156" s="33">
        <f>G157</f>
        <v>1988</v>
      </c>
      <c r="H156" s="112">
        <f t="shared" si="6"/>
        <v>30.679012345679013</v>
      </c>
    </row>
    <row r="157" spans="2:8" ht="30" customHeight="1">
      <c r="B157" s="29" t="s">
        <v>87</v>
      </c>
      <c r="C157" s="30"/>
      <c r="D157" s="25"/>
      <c r="E157" s="28" t="s">
        <v>233</v>
      </c>
      <c r="F157" s="26">
        <f>F158+F161+F163</f>
        <v>6480</v>
      </c>
      <c r="G157" s="33">
        <f>G158+G161+G163</f>
        <v>1988</v>
      </c>
      <c r="H157" s="112">
        <f t="shared" si="6"/>
        <v>30.679012345679013</v>
      </c>
    </row>
    <row r="158" spans="2:8" ht="30" customHeight="1">
      <c r="B158" s="29">
        <v>32</v>
      </c>
      <c r="C158" s="30"/>
      <c r="D158" s="25"/>
      <c r="E158" s="28" t="s">
        <v>4</v>
      </c>
      <c r="F158" s="26">
        <f>F159</f>
        <v>980</v>
      </c>
      <c r="G158" s="33">
        <f>G159</f>
        <v>1988</v>
      </c>
      <c r="H158" s="112">
        <f t="shared" si="6"/>
        <v>202.85714285714283</v>
      </c>
    </row>
    <row r="159" spans="2:8" ht="30" customHeight="1">
      <c r="B159" s="29"/>
      <c r="C159" s="30">
        <v>329</v>
      </c>
      <c r="D159" s="25"/>
      <c r="E159" s="28" t="s">
        <v>11</v>
      </c>
      <c r="F159" s="26">
        <v>980</v>
      </c>
      <c r="G159" s="33">
        <f>G160</f>
        <v>1988</v>
      </c>
      <c r="H159" s="112">
        <f t="shared" si="6"/>
        <v>202.85714285714283</v>
      </c>
    </row>
    <row r="160" spans="2:8" ht="30" customHeight="1">
      <c r="B160" s="29"/>
      <c r="C160" s="30"/>
      <c r="D160" s="25">
        <v>3295</v>
      </c>
      <c r="E160" s="28" t="s">
        <v>41</v>
      </c>
      <c r="F160" s="26"/>
      <c r="G160" s="33">
        <v>1988</v>
      </c>
      <c r="H160" s="112"/>
    </row>
    <row r="161" spans="2:8" ht="30" customHeight="1">
      <c r="B161" s="29">
        <v>34</v>
      </c>
      <c r="C161" s="30"/>
      <c r="D161" s="25"/>
      <c r="E161" s="28" t="s">
        <v>12</v>
      </c>
      <c r="F161" s="26">
        <v>0</v>
      </c>
      <c r="G161" s="33">
        <f>G162</f>
        <v>0</v>
      </c>
      <c r="H161" s="112"/>
    </row>
    <row r="162" spans="2:8" ht="30" customHeight="1">
      <c r="B162" s="29"/>
      <c r="C162" s="30"/>
      <c r="D162" s="25">
        <v>343</v>
      </c>
      <c r="E162" s="28" t="s">
        <v>13</v>
      </c>
      <c r="F162" s="26"/>
      <c r="G162" s="33">
        <v>0</v>
      </c>
      <c r="H162" s="112"/>
    </row>
    <row r="163" spans="2:8" ht="30" customHeight="1">
      <c r="B163" s="29">
        <v>42</v>
      </c>
      <c r="C163" s="30"/>
      <c r="D163" s="25"/>
      <c r="E163" s="28" t="s">
        <v>15</v>
      </c>
      <c r="F163" s="26">
        <f>F164</f>
        <v>5500</v>
      </c>
      <c r="G163" s="33">
        <f>G164</f>
        <v>0</v>
      </c>
      <c r="H163" s="112">
        <f t="shared" si="6"/>
        <v>0</v>
      </c>
    </row>
    <row r="164" spans="2:8" ht="30" customHeight="1">
      <c r="B164" s="29"/>
      <c r="C164" s="30">
        <v>424</v>
      </c>
      <c r="D164" s="25"/>
      <c r="E164" s="28" t="s">
        <v>244</v>
      </c>
      <c r="F164" s="26">
        <v>5500</v>
      </c>
      <c r="G164" s="33">
        <f>G165</f>
        <v>0</v>
      </c>
      <c r="H164" s="112">
        <f t="shared" si="6"/>
        <v>0</v>
      </c>
    </row>
    <row r="165" spans="2:8" ht="30" customHeight="1">
      <c r="B165" s="29"/>
      <c r="C165" s="30"/>
      <c r="D165" s="25">
        <v>4241</v>
      </c>
      <c r="E165" s="28" t="s">
        <v>53</v>
      </c>
      <c r="F165" s="26"/>
      <c r="G165" s="33">
        <v>0</v>
      </c>
      <c r="H165" s="112"/>
    </row>
    <row r="166" spans="2:8" ht="30" customHeight="1">
      <c r="B166" s="289" t="s">
        <v>104</v>
      </c>
      <c r="C166" s="290"/>
      <c r="D166" s="291"/>
      <c r="E166" s="28" t="s">
        <v>105</v>
      </c>
      <c r="F166" s="26">
        <f>F167+F174</f>
        <v>500</v>
      </c>
      <c r="G166" s="33">
        <f>G167+G174</f>
        <v>2265.3000000000002</v>
      </c>
      <c r="H166" s="112">
        <f t="shared" si="6"/>
        <v>453.06000000000006</v>
      </c>
    </row>
    <row r="167" spans="2:8" ht="30" customHeight="1">
      <c r="B167" s="29" t="s">
        <v>97</v>
      </c>
      <c r="C167" s="30"/>
      <c r="D167" s="25"/>
      <c r="E167" s="28" t="s">
        <v>98</v>
      </c>
      <c r="F167" s="26">
        <f>F168</f>
        <v>500</v>
      </c>
      <c r="G167" s="33">
        <f>G168</f>
        <v>2265.3000000000002</v>
      </c>
      <c r="H167" s="112">
        <f t="shared" si="6"/>
        <v>453.06000000000006</v>
      </c>
    </row>
    <row r="168" spans="2:8" ht="30" customHeight="1">
      <c r="B168" s="289">
        <v>32</v>
      </c>
      <c r="C168" s="290"/>
      <c r="D168" s="291"/>
      <c r="E168" s="28" t="s">
        <v>4</v>
      </c>
      <c r="F168" s="26">
        <f>F169+F171</f>
        <v>500</v>
      </c>
      <c r="G168" s="33">
        <f>G169++G171</f>
        <v>2265.3000000000002</v>
      </c>
      <c r="H168" s="112">
        <f t="shared" si="6"/>
        <v>453.06000000000006</v>
      </c>
    </row>
    <row r="169" spans="2:8" ht="30" customHeight="1">
      <c r="B169" s="29"/>
      <c r="C169" s="30">
        <v>323</v>
      </c>
      <c r="D169" s="25"/>
      <c r="E169" s="28" t="s">
        <v>9</v>
      </c>
      <c r="F169" s="26">
        <v>0</v>
      </c>
      <c r="G169" s="33">
        <f>G170</f>
        <v>1752.79</v>
      </c>
      <c r="H169" s="112"/>
    </row>
    <row r="170" spans="2:8" ht="30" customHeight="1">
      <c r="B170" s="29"/>
      <c r="C170" s="30"/>
      <c r="D170" s="182">
        <v>3231</v>
      </c>
      <c r="E170" s="28" t="s">
        <v>33</v>
      </c>
      <c r="F170" s="26"/>
      <c r="G170" s="33">
        <v>1752.79</v>
      </c>
      <c r="H170" s="112"/>
    </row>
    <row r="171" spans="2:8" ht="30" customHeight="1">
      <c r="B171" s="29"/>
      <c r="C171" s="30">
        <v>329</v>
      </c>
      <c r="D171" s="223"/>
      <c r="E171" s="28" t="s">
        <v>11</v>
      </c>
      <c r="F171" s="26">
        <v>500</v>
      </c>
      <c r="G171" s="33">
        <f>SUM(G172:G173)</f>
        <v>512.51</v>
      </c>
      <c r="H171" s="112">
        <f t="shared" si="6"/>
        <v>102.50200000000001</v>
      </c>
    </row>
    <row r="172" spans="2:8" ht="30" customHeight="1">
      <c r="B172" s="29"/>
      <c r="C172" s="30"/>
      <c r="D172" s="27">
        <v>3292</v>
      </c>
      <c r="E172" s="181" t="s">
        <v>202</v>
      </c>
      <c r="F172" s="26"/>
      <c r="G172" s="33">
        <v>215</v>
      </c>
      <c r="H172" s="112"/>
    </row>
    <row r="173" spans="2:8" ht="30" customHeight="1">
      <c r="B173" s="29"/>
      <c r="C173" s="30"/>
      <c r="D173" s="25">
        <v>3299</v>
      </c>
      <c r="E173" s="28" t="s">
        <v>11</v>
      </c>
      <c r="F173" s="26"/>
      <c r="G173" s="33">
        <f>247.51+50</f>
        <v>297.51</v>
      </c>
      <c r="H173" s="112"/>
    </row>
    <row r="174" spans="2:8" ht="30" customHeight="1">
      <c r="B174" s="29" t="s">
        <v>223</v>
      </c>
      <c r="C174" s="30"/>
      <c r="D174" s="25"/>
      <c r="E174" s="28" t="s">
        <v>224</v>
      </c>
      <c r="F174" s="26">
        <v>0</v>
      </c>
      <c r="G174" s="33">
        <f>G175</f>
        <v>0</v>
      </c>
      <c r="H174" s="112"/>
    </row>
    <row r="175" spans="2:8" ht="30" customHeight="1">
      <c r="B175" s="29">
        <v>32</v>
      </c>
      <c r="C175" s="30"/>
      <c r="D175" s="25"/>
      <c r="E175" s="28" t="s">
        <v>4</v>
      </c>
      <c r="F175" s="26"/>
      <c r="G175" s="33">
        <f>G176</f>
        <v>0</v>
      </c>
      <c r="H175" s="112"/>
    </row>
    <row r="176" spans="2:8" ht="30" customHeight="1">
      <c r="B176" s="29"/>
      <c r="C176" s="30"/>
      <c r="D176" s="25">
        <v>329</v>
      </c>
      <c r="E176" s="28" t="s">
        <v>11</v>
      </c>
      <c r="F176" s="26"/>
      <c r="G176" s="33">
        <v>0</v>
      </c>
      <c r="H176" s="112"/>
    </row>
    <row r="177" spans="2:8" ht="30" customHeight="1">
      <c r="B177" s="289" t="s">
        <v>106</v>
      </c>
      <c r="C177" s="290"/>
      <c r="D177" s="291"/>
      <c r="E177" s="28" t="s">
        <v>107</v>
      </c>
      <c r="F177" s="26">
        <f>F178</f>
        <v>17830</v>
      </c>
      <c r="G177" s="33">
        <f>35926.62</f>
        <v>35926.620000000003</v>
      </c>
      <c r="H177" s="112">
        <f t="shared" si="6"/>
        <v>201.49534492428495</v>
      </c>
    </row>
    <row r="178" spans="2:8" ht="30" customHeight="1">
      <c r="B178" s="29" t="s">
        <v>221</v>
      </c>
      <c r="C178" s="30"/>
      <c r="D178" s="25"/>
      <c r="E178" s="28" t="s">
        <v>222</v>
      </c>
      <c r="F178" s="26">
        <f>F179+F186+F206+F209</f>
        <v>17830</v>
      </c>
      <c r="G178" s="33">
        <f>G179+G186+G206+G209</f>
        <v>35926.620000000003</v>
      </c>
      <c r="H178" s="112">
        <f t="shared" si="6"/>
        <v>201.49534492428495</v>
      </c>
    </row>
    <row r="179" spans="2:8" ht="30" customHeight="1">
      <c r="B179" s="29">
        <v>31</v>
      </c>
      <c r="C179" s="30"/>
      <c r="D179" s="25"/>
      <c r="E179" s="181" t="s">
        <v>0</v>
      </c>
      <c r="F179" s="26">
        <f>F180+F182+F184</f>
        <v>0</v>
      </c>
      <c r="G179" s="33">
        <f>G180+G182+G184</f>
        <v>1258.18</v>
      </c>
      <c r="H179" s="112"/>
    </row>
    <row r="180" spans="2:8" ht="30" customHeight="1">
      <c r="B180" s="29"/>
      <c r="C180" s="30">
        <v>311</v>
      </c>
      <c r="D180" s="25"/>
      <c r="E180" s="28" t="s">
        <v>243</v>
      </c>
      <c r="F180" s="26"/>
      <c r="G180" s="33">
        <f>G181</f>
        <v>1.64</v>
      </c>
      <c r="H180" s="112"/>
    </row>
    <row r="181" spans="2:8" ht="30" customHeight="1">
      <c r="B181" s="29"/>
      <c r="C181" s="30"/>
      <c r="D181" s="25">
        <v>3111</v>
      </c>
      <c r="E181" s="28" t="s">
        <v>22</v>
      </c>
      <c r="F181" s="26"/>
      <c r="G181" s="33">
        <f>1.64</f>
        <v>1.64</v>
      </c>
      <c r="H181" s="112"/>
    </row>
    <row r="182" spans="2:8" ht="30" customHeight="1">
      <c r="B182" s="29"/>
      <c r="C182" s="30">
        <v>312</v>
      </c>
      <c r="D182" s="25"/>
      <c r="E182" s="28" t="s">
        <v>172</v>
      </c>
      <c r="F182" s="26">
        <v>0</v>
      </c>
      <c r="G182" s="33">
        <f>G183</f>
        <v>1255.56</v>
      </c>
      <c r="H182" s="112"/>
    </row>
    <row r="183" spans="2:8" ht="30" customHeight="1">
      <c r="B183" s="29"/>
      <c r="C183" s="30"/>
      <c r="D183" s="25">
        <v>3121</v>
      </c>
      <c r="E183" s="28" t="s">
        <v>172</v>
      </c>
      <c r="F183" s="26"/>
      <c r="G183" s="33">
        <f>300+955.56</f>
        <v>1255.56</v>
      </c>
      <c r="H183" s="112"/>
    </row>
    <row r="184" spans="2:8" ht="30" customHeight="1">
      <c r="B184" s="29"/>
      <c r="C184" s="30">
        <v>313</v>
      </c>
      <c r="D184" s="25"/>
      <c r="E184" s="28" t="s">
        <v>3</v>
      </c>
      <c r="F184" s="26">
        <v>0</v>
      </c>
      <c r="G184" s="33">
        <f>G185</f>
        <v>0.98</v>
      </c>
      <c r="H184" s="112"/>
    </row>
    <row r="185" spans="2:8" ht="30" customHeight="1">
      <c r="B185" s="29"/>
      <c r="C185" s="30"/>
      <c r="D185" s="25">
        <v>3132</v>
      </c>
      <c r="E185" s="28" t="s">
        <v>173</v>
      </c>
      <c r="F185" s="26"/>
      <c r="G185" s="33">
        <f>0.98</f>
        <v>0.98</v>
      </c>
      <c r="H185" s="112"/>
    </row>
    <row r="186" spans="2:8" ht="30" customHeight="1">
      <c r="B186" s="289">
        <v>32</v>
      </c>
      <c r="C186" s="290"/>
      <c r="D186" s="291"/>
      <c r="E186" s="28" t="s">
        <v>4</v>
      </c>
      <c r="F186" s="26">
        <f>F187+F189+F194+F202</f>
        <v>16630</v>
      </c>
      <c r="G186" s="33">
        <f>G187+G189+G194+G202</f>
        <v>33266.629999999997</v>
      </c>
      <c r="H186" s="112">
        <f t="shared" si="6"/>
        <v>200.03986770895969</v>
      </c>
    </row>
    <row r="187" spans="2:8" ht="30" customHeight="1">
      <c r="B187" s="29"/>
      <c r="C187" s="30">
        <v>321</v>
      </c>
      <c r="D187" s="25"/>
      <c r="E187" s="28" t="s">
        <v>5</v>
      </c>
      <c r="F187" s="26">
        <v>800</v>
      </c>
      <c r="G187" s="33">
        <f>G188</f>
        <v>218.63</v>
      </c>
      <c r="H187" s="112">
        <f t="shared" si="6"/>
        <v>27.328750000000003</v>
      </c>
    </row>
    <row r="188" spans="2:8" ht="30" customHeight="1">
      <c r="B188" s="29"/>
      <c r="C188" s="30"/>
      <c r="D188" s="25">
        <v>3211</v>
      </c>
      <c r="E188" s="28" t="s">
        <v>25</v>
      </c>
      <c r="F188" s="26"/>
      <c r="G188" s="33">
        <f>218.63</f>
        <v>218.63</v>
      </c>
      <c r="H188" s="112"/>
    </row>
    <row r="189" spans="2:8" ht="30" customHeight="1">
      <c r="B189" s="29"/>
      <c r="C189" s="30">
        <v>322</v>
      </c>
      <c r="D189" s="25"/>
      <c r="E189" s="28"/>
      <c r="F189" s="26">
        <v>2200</v>
      </c>
      <c r="G189" s="33">
        <f>SUM(G190:G193)</f>
        <v>974.52</v>
      </c>
      <c r="H189" s="112">
        <f t="shared" si="6"/>
        <v>44.296363636363637</v>
      </c>
    </row>
    <row r="190" spans="2:8" ht="30" customHeight="1">
      <c r="B190" s="29"/>
      <c r="C190" s="30"/>
      <c r="D190" s="25">
        <v>3221</v>
      </c>
      <c r="E190" s="28" t="s">
        <v>7</v>
      </c>
      <c r="F190" s="26"/>
      <c r="G190" s="33">
        <f>18.57+0.67+40.8</f>
        <v>60.04</v>
      </c>
      <c r="H190" s="112"/>
    </row>
    <row r="191" spans="2:8" ht="30" customHeight="1">
      <c r="B191" s="29"/>
      <c r="C191" s="30"/>
      <c r="D191" s="25">
        <v>3222</v>
      </c>
      <c r="E191" s="28" t="s">
        <v>48</v>
      </c>
      <c r="F191" s="26"/>
      <c r="G191" s="33">
        <f>103.55</f>
        <v>103.55</v>
      </c>
      <c r="H191" s="112"/>
    </row>
    <row r="192" spans="2:8" ht="30" customHeight="1">
      <c r="B192" s="29"/>
      <c r="C192" s="30"/>
      <c r="D192" s="25">
        <v>3223</v>
      </c>
      <c r="E192" s="28" t="s">
        <v>29</v>
      </c>
      <c r="F192" s="26"/>
      <c r="G192" s="33">
        <f>414.14</f>
        <v>414.14</v>
      </c>
      <c r="H192" s="112"/>
    </row>
    <row r="193" spans="2:8" ht="30" customHeight="1">
      <c r="B193" s="29"/>
      <c r="C193" s="30"/>
      <c r="D193" s="25">
        <v>3224</v>
      </c>
      <c r="E193" s="28" t="s">
        <v>31</v>
      </c>
      <c r="F193" s="26"/>
      <c r="G193" s="33">
        <f>93.5+190.4+112.89</f>
        <v>396.78999999999996</v>
      </c>
      <c r="H193" s="112"/>
    </row>
    <row r="194" spans="2:8" ht="30" customHeight="1">
      <c r="B194" s="29"/>
      <c r="C194" s="30">
        <v>323</v>
      </c>
      <c r="D194" s="25"/>
      <c r="E194" s="28" t="s">
        <v>9</v>
      </c>
      <c r="F194" s="26">
        <v>11126</v>
      </c>
      <c r="G194" s="33">
        <f>SUM(G195:G201)</f>
        <v>31765.599999999999</v>
      </c>
      <c r="H194" s="112">
        <f t="shared" si="6"/>
        <v>285.5078195218407</v>
      </c>
    </row>
    <row r="195" spans="2:8" ht="30" customHeight="1">
      <c r="B195" s="29"/>
      <c r="C195" s="30"/>
      <c r="D195" s="25">
        <v>3231</v>
      </c>
      <c r="E195" s="28" t="s">
        <v>33</v>
      </c>
      <c r="F195" s="26"/>
      <c r="G195" s="33">
        <f>6413.13</f>
        <v>6413.13</v>
      </c>
      <c r="H195" s="112"/>
    </row>
    <row r="196" spans="2:8" ht="30" customHeight="1">
      <c r="B196" s="29"/>
      <c r="C196" s="30"/>
      <c r="D196" s="25">
        <v>3233</v>
      </c>
      <c r="E196" s="28" t="s">
        <v>228</v>
      </c>
      <c r="F196" s="26"/>
      <c r="G196" s="33">
        <f>48.01</f>
        <v>48.01</v>
      </c>
      <c r="H196" s="112"/>
    </row>
    <row r="197" spans="2:8" ht="30" customHeight="1">
      <c r="B197" s="29"/>
      <c r="C197" s="30"/>
      <c r="D197" s="25">
        <v>3234</v>
      </c>
      <c r="E197" s="28" t="s">
        <v>37</v>
      </c>
      <c r="F197" s="26"/>
      <c r="G197" s="33">
        <f>23.04+55.41</f>
        <v>78.449999999999989</v>
      </c>
      <c r="H197" s="112"/>
    </row>
    <row r="198" spans="2:8" ht="30" customHeight="1">
      <c r="B198" s="29"/>
      <c r="C198" s="30"/>
      <c r="D198" s="25">
        <v>3236</v>
      </c>
      <c r="E198" s="28" t="s">
        <v>229</v>
      </c>
      <c r="F198" s="26"/>
      <c r="G198" s="33">
        <f>799</f>
        <v>799</v>
      </c>
      <c r="H198" s="112"/>
    </row>
    <row r="199" spans="2:8" ht="30" customHeight="1">
      <c r="B199" s="29"/>
      <c r="C199" s="30"/>
      <c r="D199" s="25">
        <v>3237</v>
      </c>
      <c r="E199" s="28" t="s">
        <v>50</v>
      </c>
      <c r="F199" s="26"/>
      <c r="G199" s="33">
        <f>13586.8</f>
        <v>13586.8</v>
      </c>
      <c r="H199" s="112"/>
    </row>
    <row r="200" spans="2:8" ht="30" customHeight="1">
      <c r="B200" s="29"/>
      <c r="C200" s="30"/>
      <c r="D200" s="25">
        <v>3238</v>
      </c>
      <c r="E200" s="28" t="s">
        <v>39</v>
      </c>
      <c r="F200" s="26"/>
      <c r="G200" s="33">
        <f>36.35</f>
        <v>36.35</v>
      </c>
      <c r="H200" s="112"/>
    </row>
    <row r="201" spans="2:8" ht="30" customHeight="1">
      <c r="B201" s="29"/>
      <c r="C201" s="30"/>
      <c r="D201" s="25">
        <v>3239</v>
      </c>
      <c r="E201" s="28" t="s">
        <v>10</v>
      </c>
      <c r="F201" s="26"/>
      <c r="G201" s="33">
        <v>10803.86</v>
      </c>
      <c r="H201" s="112"/>
    </row>
    <row r="202" spans="2:8" ht="30" customHeight="1">
      <c r="B202" s="29"/>
      <c r="C202" s="30">
        <v>329</v>
      </c>
      <c r="D202" s="25"/>
      <c r="E202" s="28" t="s">
        <v>11</v>
      </c>
      <c r="F202" s="26">
        <v>2504</v>
      </c>
      <c r="G202" s="33">
        <f>SUM(G203:G205)</f>
        <v>307.88</v>
      </c>
      <c r="H202" s="112">
        <f t="shared" si="6"/>
        <v>12.295527156549522</v>
      </c>
    </row>
    <row r="203" spans="2:8" ht="30" customHeight="1">
      <c r="B203" s="29"/>
      <c r="C203" s="30"/>
      <c r="D203" s="25">
        <v>3293</v>
      </c>
      <c r="E203" s="28" t="s">
        <v>203</v>
      </c>
      <c r="F203" s="26"/>
      <c r="G203" s="33">
        <v>184.7</v>
      </c>
      <c r="H203" s="112"/>
    </row>
    <row r="204" spans="2:8" ht="30" customHeight="1">
      <c r="B204" s="29"/>
      <c r="C204" s="30"/>
      <c r="D204" s="25">
        <v>3295</v>
      </c>
      <c r="E204" s="28" t="s">
        <v>41</v>
      </c>
      <c r="F204" s="26"/>
      <c r="G204" s="33">
        <v>33.18</v>
      </c>
      <c r="H204" s="112"/>
    </row>
    <row r="205" spans="2:8" ht="30" customHeight="1">
      <c r="B205" s="29"/>
      <c r="C205" s="30"/>
      <c r="D205" s="25">
        <v>3299</v>
      </c>
      <c r="E205" s="28" t="s">
        <v>11</v>
      </c>
      <c r="F205" s="26"/>
      <c r="G205" s="33">
        <v>90</v>
      </c>
      <c r="H205" s="112"/>
    </row>
    <row r="206" spans="2:8" ht="30" customHeight="1">
      <c r="B206" s="289">
        <v>34</v>
      </c>
      <c r="C206" s="290"/>
      <c r="D206" s="291"/>
      <c r="E206" s="28" t="s">
        <v>12</v>
      </c>
      <c r="F206" s="26">
        <f>F207</f>
        <v>0</v>
      </c>
      <c r="G206" s="33">
        <f>G207</f>
        <v>0.01</v>
      </c>
      <c r="H206" s="112"/>
    </row>
    <row r="207" spans="2:8" ht="30" customHeight="1">
      <c r="B207" s="29"/>
      <c r="C207" s="30">
        <v>343</v>
      </c>
      <c r="D207" s="25"/>
      <c r="E207" s="28" t="s">
        <v>13</v>
      </c>
      <c r="F207" s="26">
        <v>0</v>
      </c>
      <c r="G207" s="33">
        <f>G208</f>
        <v>0.01</v>
      </c>
      <c r="H207" s="112"/>
    </row>
    <row r="208" spans="2:8" ht="30" customHeight="1">
      <c r="B208" s="29"/>
      <c r="C208" s="30"/>
      <c r="D208" s="25">
        <v>3434</v>
      </c>
      <c r="E208" s="28" t="s">
        <v>230</v>
      </c>
      <c r="F208" s="26"/>
      <c r="G208" s="33">
        <v>0.01</v>
      </c>
      <c r="H208" s="112"/>
    </row>
    <row r="209" spans="2:8" ht="30" customHeight="1">
      <c r="B209" s="29">
        <v>42</v>
      </c>
      <c r="C209" s="30"/>
      <c r="D209" s="25"/>
      <c r="E209" s="28" t="s">
        <v>15</v>
      </c>
      <c r="F209" s="26">
        <f>F210+F212</f>
        <v>1200</v>
      </c>
      <c r="G209" s="33">
        <f>G211+G213</f>
        <v>1401.8</v>
      </c>
      <c r="H209" s="112">
        <f t="shared" si="6"/>
        <v>116.81666666666666</v>
      </c>
    </row>
    <row r="210" spans="2:8" ht="30" customHeight="1">
      <c r="B210" s="29"/>
      <c r="C210" s="30">
        <v>422</v>
      </c>
      <c r="D210" s="25"/>
      <c r="E210" s="28" t="s">
        <v>14</v>
      </c>
      <c r="F210" s="26">
        <v>0</v>
      </c>
      <c r="G210" s="33">
        <f>G211</f>
        <v>1399</v>
      </c>
      <c r="H210" s="112"/>
    </row>
    <row r="211" spans="2:8" ht="30" customHeight="1">
      <c r="B211" s="29"/>
      <c r="C211" s="30"/>
      <c r="D211" s="25">
        <v>4221</v>
      </c>
      <c r="E211" s="28" t="s">
        <v>187</v>
      </c>
      <c r="F211" s="26"/>
      <c r="G211" s="33">
        <v>1399</v>
      </c>
      <c r="H211" s="112"/>
    </row>
    <row r="212" spans="2:8" ht="30" customHeight="1">
      <c r="B212" s="29"/>
      <c r="C212" s="30">
        <v>424</v>
      </c>
      <c r="D212" s="25"/>
      <c r="E212" s="28" t="s">
        <v>244</v>
      </c>
      <c r="F212" s="26">
        <v>1200</v>
      </c>
      <c r="G212" s="33">
        <f>G213</f>
        <v>2.8</v>
      </c>
      <c r="H212" s="112">
        <f t="shared" si="6"/>
        <v>0.23333333333333331</v>
      </c>
    </row>
    <row r="213" spans="2:8" ht="30" customHeight="1">
      <c r="B213" s="29"/>
      <c r="C213" s="30"/>
      <c r="D213" s="25">
        <v>4241</v>
      </c>
      <c r="E213" s="28" t="s">
        <v>53</v>
      </c>
      <c r="F213" s="26"/>
      <c r="G213" s="33">
        <v>2.8</v>
      </c>
      <c r="H213" s="112"/>
    </row>
    <row r="214" spans="2:8" ht="30" customHeight="1">
      <c r="B214" s="289" t="s">
        <v>109</v>
      </c>
      <c r="C214" s="290"/>
      <c r="D214" s="291"/>
      <c r="E214" s="28" t="s">
        <v>110</v>
      </c>
      <c r="F214" s="26">
        <f t="shared" ref="F214:G216" si="7">F215</f>
        <v>18500</v>
      </c>
      <c r="G214" s="33">
        <f t="shared" si="7"/>
        <v>17756.36</v>
      </c>
      <c r="H214" s="112">
        <f t="shared" ref="H214:H248" si="8">G214/F214*100</f>
        <v>95.980324324324329</v>
      </c>
    </row>
    <row r="215" spans="2:8" ht="30" customHeight="1">
      <c r="B215" s="29" t="s">
        <v>87</v>
      </c>
      <c r="C215" s="30"/>
      <c r="D215" s="25"/>
      <c r="E215" s="113" t="s">
        <v>233</v>
      </c>
      <c r="F215" s="26">
        <f t="shared" si="7"/>
        <v>18500</v>
      </c>
      <c r="G215" s="33">
        <f t="shared" si="7"/>
        <v>17756.36</v>
      </c>
      <c r="H215" s="112">
        <f t="shared" si="8"/>
        <v>95.980324324324329</v>
      </c>
    </row>
    <row r="216" spans="2:8" ht="30" customHeight="1">
      <c r="B216" s="289">
        <v>32</v>
      </c>
      <c r="C216" s="290"/>
      <c r="D216" s="291"/>
      <c r="E216" s="28" t="s">
        <v>4</v>
      </c>
      <c r="F216" s="26">
        <f t="shared" si="7"/>
        <v>18500</v>
      </c>
      <c r="G216" s="33">
        <f t="shared" si="7"/>
        <v>17756.36</v>
      </c>
      <c r="H216" s="112">
        <f t="shared" si="8"/>
        <v>95.980324324324329</v>
      </c>
    </row>
    <row r="217" spans="2:8" ht="30" customHeight="1">
      <c r="B217" s="29"/>
      <c r="C217" s="30">
        <v>322</v>
      </c>
      <c r="D217" s="25"/>
      <c r="E217" s="28" t="s">
        <v>7</v>
      </c>
      <c r="F217" s="26">
        <v>18500</v>
      </c>
      <c r="G217" s="33">
        <f>G218</f>
        <v>17756.36</v>
      </c>
      <c r="H217" s="112">
        <f t="shared" si="8"/>
        <v>95.980324324324329</v>
      </c>
    </row>
    <row r="218" spans="2:8" ht="30" customHeight="1">
      <c r="B218" s="29"/>
      <c r="C218" s="30"/>
      <c r="D218" s="25">
        <v>3222</v>
      </c>
      <c r="E218" s="28" t="s">
        <v>174</v>
      </c>
      <c r="F218" s="26"/>
      <c r="G218" s="33">
        <v>17756.36</v>
      </c>
      <c r="H218" s="112"/>
    </row>
    <row r="219" spans="2:8" ht="35.25" customHeight="1">
      <c r="B219" s="289" t="s">
        <v>108</v>
      </c>
      <c r="C219" s="290"/>
      <c r="D219" s="291"/>
      <c r="E219" s="113" t="s">
        <v>111</v>
      </c>
      <c r="F219" s="26">
        <f t="shared" ref="F219:G221" si="9">F220</f>
        <v>185</v>
      </c>
      <c r="G219" s="33">
        <f t="shared" si="9"/>
        <v>184.5</v>
      </c>
      <c r="H219" s="112">
        <f t="shared" si="8"/>
        <v>99.729729729729726</v>
      </c>
    </row>
    <row r="220" spans="2:8" ht="35.25" customHeight="1">
      <c r="B220" s="29" t="s">
        <v>87</v>
      </c>
      <c r="C220" s="30"/>
      <c r="D220" s="25"/>
      <c r="E220" s="113" t="s">
        <v>233</v>
      </c>
      <c r="F220" s="26">
        <f t="shared" si="9"/>
        <v>185</v>
      </c>
      <c r="G220" s="33">
        <f t="shared" si="9"/>
        <v>184.5</v>
      </c>
      <c r="H220" s="112">
        <f t="shared" si="8"/>
        <v>99.729729729729726</v>
      </c>
    </row>
    <row r="221" spans="2:8" ht="30" customHeight="1">
      <c r="B221" s="289">
        <v>38</v>
      </c>
      <c r="C221" s="290"/>
      <c r="D221" s="291"/>
      <c r="E221" s="28" t="s">
        <v>137</v>
      </c>
      <c r="F221" s="26">
        <f t="shared" si="9"/>
        <v>185</v>
      </c>
      <c r="G221" s="33">
        <f t="shared" si="9"/>
        <v>184.5</v>
      </c>
      <c r="H221" s="112">
        <f t="shared" si="8"/>
        <v>99.729729729729726</v>
      </c>
    </row>
    <row r="222" spans="2:8" ht="30" customHeight="1">
      <c r="B222" s="29"/>
      <c r="C222" s="30">
        <v>381</v>
      </c>
      <c r="D222" s="25"/>
      <c r="E222" s="28" t="s">
        <v>59</v>
      </c>
      <c r="F222" s="26">
        <v>185</v>
      </c>
      <c r="G222" s="33">
        <f>G223</f>
        <v>184.5</v>
      </c>
      <c r="H222" s="112">
        <f t="shared" si="8"/>
        <v>99.729729729729726</v>
      </c>
    </row>
    <row r="223" spans="2:8" ht="32.25" customHeight="1">
      <c r="B223" s="146"/>
      <c r="C223" s="147"/>
      <c r="D223" s="25">
        <v>3812</v>
      </c>
      <c r="E223" s="28" t="s">
        <v>138</v>
      </c>
      <c r="F223" s="26"/>
      <c r="G223" s="33">
        <v>184.5</v>
      </c>
      <c r="H223" s="112"/>
    </row>
    <row r="224" spans="2:8" ht="38.25" customHeight="1">
      <c r="B224" s="289" t="s">
        <v>231</v>
      </c>
      <c r="C224" s="290"/>
      <c r="D224" s="291"/>
      <c r="E224" s="28" t="s">
        <v>232</v>
      </c>
      <c r="F224" s="26">
        <f>F225+F236+F239</f>
        <v>35590</v>
      </c>
      <c r="G224" s="33">
        <f>G225+G236+G239</f>
        <v>27983.78</v>
      </c>
      <c r="H224" s="112">
        <f t="shared" si="8"/>
        <v>78.628210171396447</v>
      </c>
    </row>
    <row r="225" spans="2:8" ht="38.25" customHeight="1">
      <c r="B225" s="29" t="s">
        <v>84</v>
      </c>
      <c r="C225" s="30"/>
      <c r="D225" s="25"/>
      <c r="E225" s="28" t="s">
        <v>212</v>
      </c>
      <c r="F225" s="26">
        <f>F226+F233</f>
        <v>7022</v>
      </c>
      <c r="G225" s="33">
        <f>G226+G233</f>
        <v>6995.94</v>
      </c>
      <c r="H225" s="112">
        <f t="shared" si="8"/>
        <v>99.628880660780396</v>
      </c>
    </row>
    <row r="226" spans="2:8" ht="30" customHeight="1">
      <c r="B226" s="29">
        <v>31</v>
      </c>
      <c r="C226" s="147"/>
      <c r="D226" s="25"/>
      <c r="E226" s="181" t="s">
        <v>0</v>
      </c>
      <c r="F226" s="26">
        <f>F227+F229+F231</f>
        <v>6504</v>
      </c>
      <c r="G226" s="33">
        <f>G227+G229+G231</f>
        <v>6503.79</v>
      </c>
      <c r="H226" s="112">
        <f t="shared" si="8"/>
        <v>99.99677121771218</v>
      </c>
    </row>
    <row r="227" spans="2:8" ht="30" customHeight="1">
      <c r="B227" s="29"/>
      <c r="C227" s="30">
        <v>311</v>
      </c>
      <c r="D227" s="25"/>
      <c r="E227" s="28" t="s">
        <v>243</v>
      </c>
      <c r="F227" s="26">
        <v>5368</v>
      </c>
      <c r="G227" s="33">
        <f>G228</f>
        <v>5368</v>
      </c>
      <c r="H227" s="112">
        <f t="shared" si="8"/>
        <v>100</v>
      </c>
    </row>
    <row r="228" spans="2:8" ht="30" customHeight="1">
      <c r="B228" s="146"/>
      <c r="C228" s="147"/>
      <c r="D228" s="25">
        <v>3111</v>
      </c>
      <c r="E228" s="28" t="s">
        <v>22</v>
      </c>
      <c r="F228" s="26"/>
      <c r="G228" s="33">
        <v>5368</v>
      </c>
      <c r="H228" s="112"/>
    </row>
    <row r="229" spans="2:8" ht="30" customHeight="1">
      <c r="B229" s="146"/>
      <c r="C229" s="30">
        <v>312</v>
      </c>
      <c r="D229" s="25"/>
      <c r="E229" s="28" t="s">
        <v>172</v>
      </c>
      <c r="F229" s="26">
        <v>250</v>
      </c>
      <c r="G229" s="33">
        <f>G230</f>
        <v>250</v>
      </c>
      <c r="H229" s="112">
        <f t="shared" si="8"/>
        <v>100</v>
      </c>
    </row>
    <row r="230" spans="2:8" ht="30" customHeight="1">
      <c r="B230" s="146"/>
      <c r="C230" s="147"/>
      <c r="D230" s="25">
        <v>3121</v>
      </c>
      <c r="E230" s="28" t="s">
        <v>172</v>
      </c>
      <c r="F230" s="26"/>
      <c r="G230" s="33">
        <v>250</v>
      </c>
      <c r="H230" s="112"/>
    </row>
    <row r="231" spans="2:8" ht="30" customHeight="1">
      <c r="B231" s="146"/>
      <c r="C231" s="30">
        <v>313</v>
      </c>
      <c r="D231" s="25"/>
      <c r="E231" s="28" t="s">
        <v>3</v>
      </c>
      <c r="F231" s="26">
        <v>886</v>
      </c>
      <c r="G231" s="33">
        <f>G232</f>
        <v>885.79</v>
      </c>
      <c r="H231" s="112">
        <f t="shared" si="8"/>
        <v>99.97629796839729</v>
      </c>
    </row>
    <row r="232" spans="2:8" ht="30" customHeight="1">
      <c r="B232" s="146"/>
      <c r="C232" s="147"/>
      <c r="D232" s="25">
        <v>3132</v>
      </c>
      <c r="E232" s="28" t="s">
        <v>23</v>
      </c>
      <c r="F232" s="26"/>
      <c r="G232" s="33">
        <v>885.79</v>
      </c>
      <c r="H232" s="112"/>
    </row>
    <row r="233" spans="2:8" ht="30" customHeight="1">
      <c r="B233" s="29">
        <v>32</v>
      </c>
      <c r="C233" s="147"/>
      <c r="D233" s="25"/>
      <c r="E233" s="28" t="s">
        <v>4</v>
      </c>
      <c r="F233" s="26">
        <f>F234</f>
        <v>518</v>
      </c>
      <c r="G233" s="33">
        <f>G234</f>
        <v>492.15</v>
      </c>
      <c r="H233" s="112">
        <f t="shared" si="8"/>
        <v>95.009652509652511</v>
      </c>
    </row>
    <row r="234" spans="2:8" ht="30" customHeight="1">
      <c r="B234" s="29"/>
      <c r="C234" s="30">
        <v>321</v>
      </c>
      <c r="D234" s="25"/>
      <c r="E234" s="28" t="s">
        <v>5</v>
      </c>
      <c r="F234" s="26">
        <v>518</v>
      </c>
      <c r="G234" s="33">
        <f>G235</f>
        <v>492.15</v>
      </c>
      <c r="H234" s="112">
        <f t="shared" si="8"/>
        <v>95.009652509652511</v>
      </c>
    </row>
    <row r="235" spans="2:8" ht="30" customHeight="1">
      <c r="B235" s="146"/>
      <c r="C235" s="147"/>
      <c r="D235" s="25">
        <v>3212</v>
      </c>
      <c r="E235" s="28" t="s">
        <v>216</v>
      </c>
      <c r="F235" s="26"/>
      <c r="G235" s="33">
        <v>492.15</v>
      </c>
      <c r="H235" s="112"/>
    </row>
    <row r="236" spans="2:8" ht="30" customHeight="1">
      <c r="B236" s="146" t="s">
        <v>97</v>
      </c>
      <c r="C236" s="147"/>
      <c r="D236" s="25"/>
      <c r="E236" s="28" t="s">
        <v>98</v>
      </c>
      <c r="F236" s="26">
        <f>F237</f>
        <v>7500</v>
      </c>
      <c r="G236" s="33">
        <f>G237</f>
        <v>0</v>
      </c>
      <c r="H236" s="112">
        <f t="shared" si="8"/>
        <v>0</v>
      </c>
    </row>
    <row r="237" spans="2:8" ht="30" customHeight="1">
      <c r="B237" s="29">
        <v>32</v>
      </c>
      <c r="C237" s="147"/>
      <c r="D237" s="25"/>
      <c r="E237" s="28" t="s">
        <v>4</v>
      </c>
      <c r="F237" s="26">
        <v>7500</v>
      </c>
      <c r="G237" s="33">
        <f>G238</f>
        <v>0</v>
      </c>
      <c r="H237" s="112">
        <f t="shared" si="8"/>
        <v>0</v>
      </c>
    </row>
    <row r="238" spans="2:8" ht="30" customHeight="1">
      <c r="B238" s="146"/>
      <c r="C238" s="147"/>
      <c r="D238" s="25">
        <v>323</v>
      </c>
      <c r="E238" s="28" t="s">
        <v>9</v>
      </c>
      <c r="F238" s="26"/>
      <c r="G238" s="33">
        <v>0</v>
      </c>
      <c r="H238" s="112"/>
    </row>
    <row r="239" spans="2:8" ht="30" customHeight="1">
      <c r="B239" s="146" t="s">
        <v>217</v>
      </c>
      <c r="C239" s="147"/>
      <c r="D239" s="25"/>
      <c r="E239" s="28" t="s">
        <v>218</v>
      </c>
      <c r="F239" s="26">
        <f>F240+F247</f>
        <v>21068</v>
      </c>
      <c r="G239" s="33">
        <f>G240+G247</f>
        <v>20987.84</v>
      </c>
      <c r="H239" s="112">
        <f t="shared" si="8"/>
        <v>99.619517752041006</v>
      </c>
    </row>
    <row r="240" spans="2:8" ht="30" customHeight="1">
      <c r="B240" s="29">
        <v>31</v>
      </c>
      <c r="C240" s="147"/>
      <c r="D240" s="25"/>
      <c r="E240" s="181" t="s">
        <v>0</v>
      </c>
      <c r="F240" s="26">
        <f>F241+F243+F245</f>
        <v>19513</v>
      </c>
      <c r="G240" s="138">
        <f>G241+G243+G245</f>
        <v>19512.79</v>
      </c>
      <c r="H240" s="112">
        <f t="shared" si="8"/>
        <v>99.998923794393491</v>
      </c>
    </row>
    <row r="241" spans="2:8" ht="30" customHeight="1">
      <c r="B241" s="29"/>
      <c r="C241" s="30">
        <v>311</v>
      </c>
      <c r="D241" s="25"/>
      <c r="E241" s="28" t="s">
        <v>243</v>
      </c>
      <c r="F241" s="26">
        <v>16106</v>
      </c>
      <c r="G241" s="138">
        <f>G242</f>
        <v>16105.79</v>
      </c>
      <c r="H241" s="112">
        <f t="shared" si="8"/>
        <v>99.99869613808518</v>
      </c>
    </row>
    <row r="242" spans="2:8" ht="30" customHeight="1">
      <c r="B242" s="146"/>
      <c r="C242" s="147"/>
      <c r="D242" s="25">
        <v>3111</v>
      </c>
      <c r="E242" s="28" t="s">
        <v>22</v>
      </c>
      <c r="F242" s="26"/>
      <c r="G242" s="138">
        <f>16105.79</f>
        <v>16105.79</v>
      </c>
      <c r="H242" s="112"/>
    </row>
    <row r="243" spans="2:8" ht="30" customHeight="1">
      <c r="B243" s="146"/>
      <c r="C243" s="30">
        <v>312</v>
      </c>
      <c r="D243" s="25"/>
      <c r="E243" s="28" t="s">
        <v>172</v>
      </c>
      <c r="F243" s="26">
        <v>750</v>
      </c>
      <c r="G243" s="138">
        <f>G244</f>
        <v>750</v>
      </c>
      <c r="H243" s="112">
        <f t="shared" si="8"/>
        <v>100</v>
      </c>
    </row>
    <row r="244" spans="2:8" ht="30" customHeight="1">
      <c r="B244" s="146"/>
      <c r="C244" s="147"/>
      <c r="D244" s="25">
        <v>3121</v>
      </c>
      <c r="E244" s="28" t="s">
        <v>172</v>
      </c>
      <c r="F244" s="183"/>
      <c r="G244" s="184">
        <f>750</f>
        <v>750</v>
      </c>
      <c r="H244" s="112"/>
    </row>
    <row r="245" spans="2:8" ht="30" customHeight="1">
      <c r="B245" s="146"/>
      <c r="C245" s="30">
        <v>313</v>
      </c>
      <c r="D245" s="25"/>
      <c r="E245" s="28" t="s">
        <v>3</v>
      </c>
      <c r="F245" s="224">
        <v>2657</v>
      </c>
      <c r="G245" s="184">
        <f>G246</f>
        <v>2657</v>
      </c>
      <c r="H245" s="112">
        <f t="shared" si="8"/>
        <v>100</v>
      </c>
    </row>
    <row r="246" spans="2:8" ht="30" customHeight="1">
      <c r="B246" s="146"/>
      <c r="C246" s="147"/>
      <c r="D246" s="25">
        <v>3132</v>
      </c>
      <c r="E246" s="28" t="s">
        <v>23</v>
      </c>
      <c r="F246" s="183"/>
      <c r="G246" s="184">
        <f>2657</f>
        <v>2657</v>
      </c>
      <c r="H246" s="112"/>
    </row>
    <row r="247" spans="2:8" ht="30" customHeight="1">
      <c r="B247" s="29">
        <v>32</v>
      </c>
      <c r="C247" s="147"/>
      <c r="D247" s="25"/>
      <c r="E247" s="28" t="s">
        <v>4</v>
      </c>
      <c r="F247" s="185">
        <f>F248</f>
        <v>1555</v>
      </c>
      <c r="G247" s="184">
        <f>G248</f>
        <v>1475.05</v>
      </c>
      <c r="H247" s="112">
        <f t="shared" si="8"/>
        <v>94.858520900321537</v>
      </c>
    </row>
    <row r="248" spans="2:8" ht="30" customHeight="1">
      <c r="B248" s="29"/>
      <c r="C248" s="30">
        <v>321</v>
      </c>
      <c r="D248" s="25"/>
      <c r="E248" s="28" t="s">
        <v>5</v>
      </c>
      <c r="F248" s="185">
        <v>1555</v>
      </c>
      <c r="G248" s="184">
        <f>G249</f>
        <v>1475.05</v>
      </c>
      <c r="H248" s="112">
        <f t="shared" si="8"/>
        <v>94.858520900321537</v>
      </c>
    </row>
    <row r="249" spans="2:8" ht="30" customHeight="1">
      <c r="B249" s="146"/>
      <c r="C249" s="147"/>
      <c r="D249" s="25">
        <v>3212</v>
      </c>
      <c r="E249" s="28" t="s">
        <v>216</v>
      </c>
      <c r="F249" s="183"/>
      <c r="G249" s="184">
        <f>1472.43+2.62</f>
        <v>1475.05</v>
      </c>
      <c r="H249" s="112"/>
    </row>
  </sheetData>
  <mergeCells count="30">
    <mergeCell ref="B224:D224"/>
    <mergeCell ref="B206:D206"/>
    <mergeCell ref="B214:D214"/>
    <mergeCell ref="B216:D216"/>
    <mergeCell ref="B219:D219"/>
    <mergeCell ref="B221:D221"/>
    <mergeCell ref="B186:D186"/>
    <mergeCell ref="B139:D139"/>
    <mergeCell ref="B141:D141"/>
    <mergeCell ref="B151:D151"/>
    <mergeCell ref="B153:D153"/>
    <mergeCell ref="B166:D166"/>
    <mergeCell ref="B168:D168"/>
    <mergeCell ref="B177:D177"/>
    <mergeCell ref="B156:D156"/>
    <mergeCell ref="B144:D144"/>
    <mergeCell ref="B138:D138"/>
    <mergeCell ref="B70:D70"/>
    <mergeCell ref="B127:D127"/>
    <mergeCell ref="B2:H2"/>
    <mergeCell ref="B4:H4"/>
    <mergeCell ref="B6:E6"/>
    <mergeCell ref="B7:E7"/>
    <mergeCell ref="B64:D64"/>
    <mergeCell ref="B132:D132"/>
    <mergeCell ref="B133:D133"/>
    <mergeCell ref="B65:D65"/>
    <mergeCell ref="B19:D19"/>
    <mergeCell ref="B23:D23"/>
    <mergeCell ref="B55:D5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ignoredErrors>
    <ignoredError sqref="G114 F157:G157 G168 G246 G244 G2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RAČUN PRIHODA I RASHODA</vt:lpstr>
      <vt:lpstr>Rashodi i prihodi prema izvoru</vt:lpstr>
      <vt:lpstr>Rashodi prema funkcijskoj klas</vt:lpstr>
      <vt:lpstr>Račun financiranja</vt:lpstr>
      <vt:lpstr>Račun fin prema izvorima f</vt:lpstr>
      <vt:lpstr>Rashodi prema programskoj klas</vt:lpstr>
      <vt:lpstr>'RAČUN PRIHODA I RASHODA'!Podrucje_ispisa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Ivana Konjuh</cp:lastModifiedBy>
  <cp:lastPrinted>2025-03-17T09:02:18Z</cp:lastPrinted>
  <dcterms:created xsi:type="dcterms:W3CDTF">1996-10-14T23:33:28Z</dcterms:created>
  <dcterms:modified xsi:type="dcterms:W3CDTF">2025-03-28T08:44:50Z</dcterms:modified>
</cp:coreProperties>
</file>