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Sve mape\OneDrive - CARNET\Desktop\2026\GODIŠNJI IZVJEŠTAJ IZVRŠENJA FP ZA 2025\izrada\"/>
    </mc:Choice>
  </mc:AlternateContent>
  <xr:revisionPtr revIDLastSave="0" documentId="13_ncr:1_{DC775026-FDDB-4800-B0B5-85AA0AB265F5}" xr6:coauthVersionLast="36" xr6:coauthVersionMax="47" xr10:uidLastSave="{00000000-0000-0000-0000-000000000000}"/>
  <bookViews>
    <workbookView xWindow="0" yWindow="0" windowWidth="17250" windowHeight="6060" tabRatio="604" xr2:uid="{00000000-000D-0000-FFFF-FFFF00000000}"/>
  </bookViews>
  <sheets>
    <sheet name="SAŽETAK" sheetId="23" r:id="rId1"/>
    <sheet name="RAČUN PRIHODA I RASHODA" sheetId="19" r:id="rId2"/>
    <sheet name="Rashodi i prihodi prema izvoru" sheetId="20" r:id="rId3"/>
    <sheet name="Rashodi prema funkcijskoj klas" sheetId="21" r:id="rId4"/>
    <sheet name="Račun financiranja" sheetId="24" r:id="rId5"/>
    <sheet name="Račun fin prema izvorima f" sheetId="25" r:id="rId6"/>
    <sheet name="Rashodi prema programskoj klas" sheetId="22" r:id="rId7"/>
  </sheets>
  <definedNames>
    <definedName name="_xlnm.Print_Area" localSheetId="1">'RAČUN PRIHODA I RASHODA'!$B$1:$M$115</definedName>
  </definedNames>
  <calcPr calcId="191029" calcMode="manual"/>
</workbook>
</file>

<file path=xl/calcChain.xml><?xml version="1.0" encoding="utf-8"?>
<calcChain xmlns="http://schemas.openxmlformats.org/spreadsheetml/2006/main">
  <c r="E32" i="20" l="1"/>
  <c r="K23" i="23"/>
  <c r="J23" i="23"/>
  <c r="H216" i="22" l="1"/>
  <c r="H9" i="22"/>
  <c r="H10" i="22"/>
  <c r="H11" i="22"/>
  <c r="H13" i="22"/>
  <c r="H15" i="22"/>
  <c r="H16" i="22"/>
  <c r="H17" i="22"/>
  <c r="H19" i="22"/>
  <c r="H20" i="22"/>
  <c r="H21" i="22"/>
  <c r="H22" i="22"/>
  <c r="H23" i="22"/>
  <c r="H24" i="22"/>
  <c r="H25" i="22"/>
  <c r="H26" i="22"/>
  <c r="H28" i="22"/>
  <c r="H30" i="22"/>
  <c r="H32" i="22"/>
  <c r="H33" i="22"/>
  <c r="H35" i="22"/>
  <c r="H36" i="22"/>
  <c r="H37" i="22"/>
  <c r="H39" i="22"/>
  <c r="H40" i="22"/>
  <c r="H41" i="22"/>
  <c r="H43" i="22"/>
  <c r="H45" i="22"/>
  <c r="H47" i="22"/>
  <c r="H48" i="22"/>
  <c r="H50" i="22"/>
  <c r="H51" i="22"/>
  <c r="H52" i="22"/>
  <c r="H53" i="22"/>
  <c r="H54" i="22"/>
  <c r="H55" i="22"/>
  <c r="H56" i="22"/>
  <c r="H57" i="22"/>
  <c r="H58" i="22"/>
  <c r="H59" i="22"/>
  <c r="H61" i="22"/>
  <c r="H62" i="22"/>
  <c r="H64" i="22"/>
  <c r="H65" i="22"/>
  <c r="H67" i="22"/>
  <c r="H68" i="22"/>
  <c r="H69" i="22"/>
  <c r="H70" i="22"/>
  <c r="H72" i="22"/>
  <c r="H75" i="22"/>
  <c r="H81" i="22"/>
  <c r="H83" i="22"/>
  <c r="H89" i="22"/>
  <c r="H93" i="22"/>
  <c r="H94" i="22"/>
  <c r="H98" i="22"/>
  <c r="H103" i="22"/>
  <c r="H109" i="22"/>
  <c r="H112" i="22"/>
  <c r="H113" i="22"/>
  <c r="H115" i="22"/>
  <c r="H116" i="22"/>
  <c r="H117" i="22"/>
  <c r="H121" i="22"/>
  <c r="H123" i="22"/>
  <c r="H125" i="22"/>
  <c r="H126" i="22"/>
  <c r="H129" i="22"/>
  <c r="H131" i="22"/>
  <c r="H136" i="22"/>
  <c r="H137" i="22"/>
  <c r="H146" i="22"/>
  <c r="H147" i="22"/>
  <c r="H148" i="22"/>
  <c r="H149" i="22"/>
  <c r="H151" i="22"/>
  <c r="H152" i="22"/>
  <c r="H153" i="22"/>
  <c r="H154" i="22"/>
  <c r="H155" i="22"/>
  <c r="H156" i="22"/>
  <c r="H158" i="22"/>
  <c r="H159" i="22"/>
  <c r="H162" i="22"/>
  <c r="H164" i="22"/>
  <c r="H166" i="22"/>
  <c r="H167" i="22"/>
  <c r="H171" i="22"/>
  <c r="H172" i="22"/>
  <c r="H174" i="22"/>
  <c r="H175" i="22"/>
  <c r="H176" i="22"/>
  <c r="H177" i="22"/>
  <c r="H180" i="22"/>
  <c r="H185" i="22"/>
  <c r="H186" i="22"/>
  <c r="H187" i="22"/>
  <c r="H188" i="22"/>
  <c r="H189" i="22"/>
  <c r="H190" i="22"/>
  <c r="H191" i="22"/>
  <c r="H192" i="22"/>
  <c r="H194" i="22"/>
  <c r="H199" i="22"/>
  <c r="H202" i="22"/>
  <c r="H205" i="22"/>
  <c r="H206" i="22"/>
  <c r="H208" i="22"/>
  <c r="H209" i="22"/>
  <c r="H211" i="22"/>
  <c r="H213" i="22"/>
  <c r="H214" i="22"/>
  <c r="H215" i="22"/>
  <c r="H218" i="22"/>
  <c r="H219" i="22"/>
  <c r="H220" i="22"/>
  <c r="H221" i="22"/>
  <c r="H223" i="22"/>
  <c r="H224" i="22"/>
  <c r="H225" i="22"/>
  <c r="H226" i="22"/>
  <c r="H228" i="22"/>
  <c r="H230" i="22"/>
  <c r="H232" i="22"/>
  <c r="H233" i="22"/>
  <c r="H235" i="22"/>
  <c r="H236" i="22"/>
  <c r="H239" i="22"/>
  <c r="H240" i="22"/>
  <c r="H241" i="22"/>
  <c r="H243" i="22"/>
  <c r="H245" i="22"/>
  <c r="H247" i="22"/>
  <c r="H248" i="22"/>
  <c r="F10" i="21"/>
  <c r="G10" i="21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F14" i="20"/>
  <c r="G14" i="20"/>
  <c r="F15" i="20"/>
  <c r="G15" i="20"/>
  <c r="F16" i="20"/>
  <c r="G16" i="20"/>
  <c r="F17" i="20"/>
  <c r="G17" i="20"/>
  <c r="F18" i="20"/>
  <c r="G18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8" i="20"/>
  <c r="G28" i="20"/>
  <c r="F30" i="20"/>
  <c r="G30" i="20"/>
  <c r="F31" i="20"/>
  <c r="G31" i="20"/>
  <c r="F32" i="20"/>
  <c r="G32" i="20"/>
  <c r="J108" i="19"/>
  <c r="K108" i="19"/>
  <c r="J109" i="19"/>
  <c r="K109" i="19"/>
  <c r="J110" i="19"/>
  <c r="K110" i="19"/>
  <c r="J111" i="19"/>
  <c r="K111" i="19"/>
  <c r="J112" i="19"/>
  <c r="K112" i="19"/>
  <c r="J113" i="19"/>
  <c r="J114" i="19"/>
  <c r="J42" i="19"/>
  <c r="K42" i="19"/>
  <c r="J43" i="19"/>
  <c r="K43" i="19"/>
  <c r="J44" i="19"/>
  <c r="K44" i="19"/>
  <c r="J45" i="19"/>
  <c r="J47" i="19"/>
  <c r="J48" i="19"/>
  <c r="K48" i="19"/>
  <c r="J49" i="19"/>
  <c r="J50" i="19"/>
  <c r="K50" i="19"/>
  <c r="J51" i="19"/>
  <c r="J52" i="19"/>
  <c r="K52" i="19"/>
  <c r="J53" i="19"/>
  <c r="K53" i="19"/>
  <c r="J54" i="19"/>
  <c r="J55" i="19"/>
  <c r="J58" i="19"/>
  <c r="K58" i="19"/>
  <c r="J59" i="19"/>
  <c r="J60" i="19"/>
  <c r="J61" i="19"/>
  <c r="J62" i="19"/>
  <c r="J63" i="19"/>
  <c r="J64" i="19"/>
  <c r="K64" i="19"/>
  <c r="J65" i="19"/>
  <c r="J66" i="19"/>
  <c r="J67" i="19"/>
  <c r="J68" i="19"/>
  <c r="J69" i="19"/>
  <c r="J70" i="19"/>
  <c r="J71" i="19"/>
  <c r="J72" i="19"/>
  <c r="J73" i="19"/>
  <c r="J74" i="19"/>
  <c r="J75" i="19"/>
  <c r="K75" i="19"/>
  <c r="J76" i="19"/>
  <c r="J77" i="19"/>
  <c r="J78" i="19"/>
  <c r="J79" i="19"/>
  <c r="J80" i="19"/>
  <c r="J81" i="19"/>
  <c r="K81" i="19"/>
  <c r="J82" i="19"/>
  <c r="K82" i="19"/>
  <c r="J83" i="19"/>
  <c r="J84" i="19"/>
  <c r="J85" i="19"/>
  <c r="K85" i="19"/>
  <c r="J86" i="19"/>
  <c r="K86" i="19"/>
  <c r="J88" i="19"/>
  <c r="J89" i="19"/>
  <c r="K89" i="19"/>
  <c r="J90" i="19"/>
  <c r="K90" i="19"/>
  <c r="J91" i="19"/>
  <c r="J92" i="19"/>
  <c r="K92" i="19"/>
  <c r="J93" i="19"/>
  <c r="K93" i="19"/>
  <c r="J94" i="19"/>
  <c r="K94" i="19"/>
  <c r="J95" i="19"/>
  <c r="J97" i="19"/>
  <c r="K97" i="19"/>
  <c r="J98" i="19"/>
  <c r="J99" i="19"/>
  <c r="J100" i="19"/>
  <c r="J101" i="19"/>
  <c r="J11" i="19"/>
  <c r="K11" i="19"/>
  <c r="J12" i="19"/>
  <c r="K12" i="19"/>
  <c r="J15" i="19"/>
  <c r="K15" i="19"/>
  <c r="J16" i="19"/>
  <c r="J17" i="19"/>
  <c r="J18" i="19"/>
  <c r="K18" i="19"/>
  <c r="J19" i="19"/>
  <c r="K19" i="19"/>
  <c r="J20" i="19"/>
  <c r="J21" i="19"/>
  <c r="K21" i="19"/>
  <c r="J22" i="19"/>
  <c r="K22" i="19"/>
  <c r="J23" i="19"/>
  <c r="J24" i="19"/>
  <c r="K24" i="19"/>
  <c r="J25" i="19"/>
  <c r="K25" i="19"/>
  <c r="J26" i="19"/>
  <c r="J27" i="19"/>
  <c r="J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G72" i="22" l="1"/>
  <c r="G69" i="22" s="1"/>
  <c r="G68" i="22" s="1"/>
  <c r="G67" i="22" s="1"/>
  <c r="G8" i="22"/>
  <c r="G70" i="22"/>
  <c r="F69" i="22"/>
  <c r="F68" i="22"/>
  <c r="G84" i="22"/>
  <c r="G83" i="22" s="1"/>
  <c r="G78" i="22"/>
  <c r="G76" i="22"/>
  <c r="G106" i="22"/>
  <c r="G104" i="22"/>
  <c r="G101" i="22"/>
  <c r="G100" i="22"/>
  <c r="G99" i="22"/>
  <c r="G97" i="22"/>
  <c r="G95" i="22"/>
  <c r="G152" i="22"/>
  <c r="G151" i="22"/>
  <c r="G149" i="22"/>
  <c r="G148" i="22"/>
  <c r="G147" i="22"/>
  <c r="G237" i="22"/>
  <c r="G202" i="22"/>
  <c r="G194" i="22"/>
  <c r="G199" i="22"/>
  <c r="G187" i="22"/>
  <c r="F187" i="22"/>
  <c r="G177" i="22"/>
  <c r="G169" i="22"/>
  <c r="G168" i="22" s="1"/>
  <c r="F168" i="22"/>
  <c r="G164" i="22"/>
  <c r="F152" i="22"/>
  <c r="F151" i="22"/>
  <c r="F149" i="22"/>
  <c r="F148" i="22"/>
  <c r="F147" i="22"/>
  <c r="G131" i="22"/>
  <c r="G117" i="22"/>
  <c r="G134" i="22"/>
  <c r="G137" i="22"/>
  <c r="G136" i="22" s="1"/>
  <c r="G139" i="22"/>
  <c r="F134" i="22"/>
  <c r="F136" i="22"/>
  <c r="F139" i="22"/>
  <c r="F125" i="22"/>
  <c r="G130" i="22"/>
  <c r="G129" i="22" s="1"/>
  <c r="G52" i="22"/>
  <c r="G51" i="22" s="1"/>
  <c r="F52" i="22"/>
  <c r="F51" i="22" s="1"/>
  <c r="G36" i="22"/>
  <c r="G35" i="22" s="1"/>
  <c r="F36" i="22"/>
  <c r="F35" i="22" s="1"/>
  <c r="G26" i="22"/>
  <c r="G22" i="22"/>
  <c r="G20" i="22"/>
  <c r="F22" i="22"/>
  <c r="F21" i="22"/>
  <c r="F20" i="22"/>
  <c r="G94" i="22" l="1"/>
  <c r="F146" i="22"/>
  <c r="G146" i="22"/>
  <c r="E12" i="20"/>
  <c r="E11" i="20" s="1"/>
  <c r="D9" i="21"/>
  <c r="E9" i="21"/>
  <c r="D10" i="21"/>
  <c r="E26" i="20"/>
  <c r="E15" i="20"/>
  <c r="E25" i="20"/>
  <c r="D11" i="20"/>
  <c r="D15" i="20"/>
  <c r="I112" i="19"/>
  <c r="I111" i="19"/>
  <c r="I113" i="19" s="1"/>
  <c r="I114" i="19" s="1"/>
  <c r="I94" i="19"/>
  <c r="G94" i="19"/>
  <c r="I86" i="19"/>
  <c r="G44" i="19"/>
  <c r="G86" i="19"/>
  <c r="I53" i="19"/>
  <c r="I44" i="19"/>
  <c r="J15" i="23"/>
  <c r="K10" i="23"/>
  <c r="K12" i="23"/>
  <c r="K13" i="23"/>
  <c r="K14" i="23"/>
  <c r="K9" i="23"/>
  <c r="K22" i="23"/>
  <c r="J22" i="23"/>
  <c r="J14" i="23"/>
  <c r="J13" i="23" s="1"/>
  <c r="J12" i="23" s="1"/>
  <c r="J11" i="23" s="1"/>
  <c r="J10" i="23" s="1"/>
  <c r="H13" i="23"/>
  <c r="H15" i="19"/>
  <c r="H112" i="19"/>
  <c r="H31" i="19"/>
  <c r="H33" i="19"/>
  <c r="H10" i="23"/>
  <c r="H14" i="23"/>
  <c r="C11" i="20"/>
  <c r="G13" i="19"/>
  <c r="G12" i="23"/>
  <c r="G9" i="23"/>
  <c r="F9" i="21" l="1"/>
  <c r="G9" i="21"/>
  <c r="E29" i="20"/>
  <c r="G248" i="22"/>
  <c r="G247" i="22" s="1"/>
  <c r="G126" i="22"/>
  <c r="G125" i="22" s="1"/>
  <c r="F225" i="22"/>
  <c r="G226" i="22"/>
  <c r="G228" i="22"/>
  <c r="G230" i="22"/>
  <c r="G233" i="22"/>
  <c r="G232" i="22" s="1"/>
  <c r="F232" i="22"/>
  <c r="F240" i="22"/>
  <c r="F247" i="22"/>
  <c r="F191" i="22"/>
  <c r="G206" i="22"/>
  <c r="G205" i="22" s="1"/>
  <c r="F205" i="22"/>
  <c r="F208" i="22"/>
  <c r="G209" i="22"/>
  <c r="G211" i="22"/>
  <c r="G216" i="22"/>
  <c r="G215" i="22" s="1"/>
  <c r="G214" i="22" s="1"/>
  <c r="G213" i="22" s="1"/>
  <c r="F215" i="22"/>
  <c r="F214" i="22" s="1"/>
  <c r="F213" i="22" s="1"/>
  <c r="G221" i="22"/>
  <c r="G220" i="22" s="1"/>
  <c r="G219" i="22" s="1"/>
  <c r="G218" i="22" s="1"/>
  <c r="F220" i="22"/>
  <c r="F219" i="22" s="1"/>
  <c r="F218" i="22" s="1"/>
  <c r="F176" i="22"/>
  <c r="F175" i="22" s="1"/>
  <c r="F174" i="22" s="1"/>
  <c r="G160" i="22"/>
  <c r="G162" i="22"/>
  <c r="F160" i="22"/>
  <c r="F162" i="22"/>
  <c r="F171" i="22"/>
  <c r="G172" i="22"/>
  <c r="G171" i="22" s="1"/>
  <c r="G167" i="22" s="1"/>
  <c r="F155" i="22"/>
  <c r="F154" i="22" s="1"/>
  <c r="F153" i="22" s="1"/>
  <c r="G156" i="22"/>
  <c r="G155" i="22" s="1"/>
  <c r="G154" i="22" s="1"/>
  <c r="G153" i="22" s="1"/>
  <c r="G113" i="22"/>
  <c r="G112" i="22" s="1"/>
  <c r="F112" i="22"/>
  <c r="F116" i="22"/>
  <c r="F115" i="22" s="1"/>
  <c r="G123" i="22"/>
  <c r="G59" i="22"/>
  <c r="G58" i="22" s="1"/>
  <c r="G57" i="22" s="1"/>
  <c r="F58" i="22"/>
  <c r="F57" i="22" s="1"/>
  <c r="G55" i="22"/>
  <c r="F55" i="22"/>
  <c r="F54" i="22" s="1"/>
  <c r="F50" i="22" s="1"/>
  <c r="G48" i="22"/>
  <c r="G47" i="22" s="1"/>
  <c r="F40" i="22"/>
  <c r="F47" i="22"/>
  <c r="F25" i="22"/>
  <c r="F32" i="22"/>
  <c r="D29" i="20"/>
  <c r="D9" i="20"/>
  <c r="H52" i="19"/>
  <c r="H43" i="19"/>
  <c r="I64" i="19"/>
  <c r="I58" i="19"/>
  <c r="I75" i="19"/>
  <c r="I73" i="19"/>
  <c r="I13" i="19"/>
  <c r="I34" i="19"/>
  <c r="I25" i="19"/>
  <c r="H24" i="19"/>
  <c r="H12" i="19"/>
  <c r="G12" i="22"/>
  <c r="G81" i="22"/>
  <c r="G87" i="22"/>
  <c r="G86" i="22" s="1"/>
  <c r="F86" i="22"/>
  <c r="G90" i="22"/>
  <c r="F90" i="22"/>
  <c r="G121" i="22"/>
  <c r="G142" i="22"/>
  <c r="G144" i="22"/>
  <c r="F141" i="22"/>
  <c r="G45" i="22"/>
  <c r="G43" i="22"/>
  <c r="G41" i="22"/>
  <c r="G37" i="22"/>
  <c r="G33" i="22"/>
  <c r="G32" i="22" s="1"/>
  <c r="G30" i="22"/>
  <c r="G28" i="22"/>
  <c r="G183" i="22"/>
  <c r="G182" i="22" s="1"/>
  <c r="G241" i="22"/>
  <c r="G243" i="22"/>
  <c r="G245" i="22"/>
  <c r="G236" i="22"/>
  <c r="G235" i="22" s="1"/>
  <c r="F235" i="22"/>
  <c r="G192" i="22"/>
  <c r="G180" i="22"/>
  <c r="G63" i="22"/>
  <c r="C29" i="20"/>
  <c r="C15" i="20"/>
  <c r="G75" i="19"/>
  <c r="G82" i="19"/>
  <c r="G73" i="19"/>
  <c r="G34" i="19"/>
  <c r="G33" i="19" s="1"/>
  <c r="G25" i="19"/>
  <c r="E9" i="20"/>
  <c r="I82" i="19"/>
  <c r="I19" i="19"/>
  <c r="I18" i="19" s="1"/>
  <c r="F29" i="20" l="1"/>
  <c r="G29" i="20"/>
  <c r="G208" i="22"/>
  <c r="G191" i="22"/>
  <c r="F167" i="22"/>
  <c r="F166" i="22" s="1"/>
  <c r="G116" i="22"/>
  <c r="G115" i="22" s="1"/>
  <c r="F186" i="22"/>
  <c r="F185" i="22" s="1"/>
  <c r="F239" i="22"/>
  <c r="F224" i="22"/>
  <c r="G225" i="22"/>
  <c r="G224" i="22" s="1"/>
  <c r="G240" i="22"/>
  <c r="I52" i="19"/>
  <c r="G176" i="22"/>
  <c r="G159" i="22"/>
  <c r="G158" i="22" s="1"/>
  <c r="F159" i="22"/>
  <c r="F158" i="22" s="1"/>
  <c r="F61" i="22"/>
  <c r="G103" i="22"/>
  <c r="G109" i="22"/>
  <c r="G75" i="22"/>
  <c r="G98" i="22"/>
  <c r="G40" i="22"/>
  <c r="G25" i="22"/>
  <c r="G24" i="22" s="1"/>
  <c r="F93" i="22"/>
  <c r="F89" i="22" s="1"/>
  <c r="G54" i="22"/>
  <c r="G50" i="22" s="1"/>
  <c r="F8" i="22"/>
  <c r="I33" i="19"/>
  <c r="G141" i="22"/>
  <c r="F39" i="22"/>
  <c r="G61" i="22"/>
  <c r="G19" i="22"/>
  <c r="F19" i="22"/>
  <c r="H109" i="19"/>
  <c r="H108" i="19" s="1"/>
  <c r="H107" i="19" s="1"/>
  <c r="H89" i="19"/>
  <c r="H81" i="19"/>
  <c r="H93" i="19"/>
  <c r="I90" i="19"/>
  <c r="G109" i="19"/>
  <c r="G108" i="19" s="1"/>
  <c r="G90" i="19"/>
  <c r="G27" i="19"/>
  <c r="G24" i="19" s="1"/>
  <c r="G15" i="19"/>
  <c r="G12" i="19" s="1"/>
  <c r="I15" i="19"/>
  <c r="H30" i="19"/>
  <c r="G186" i="22" l="1"/>
  <c r="G185" i="22" s="1"/>
  <c r="F223" i="22"/>
  <c r="G166" i="22"/>
  <c r="G39" i="22"/>
  <c r="F67" i="22"/>
  <c r="G175" i="22"/>
  <c r="G239" i="22"/>
  <c r="I89" i="19"/>
  <c r="G89" i="19"/>
  <c r="H8" i="22"/>
  <c r="G93" i="22"/>
  <c r="F23" i="22"/>
  <c r="I12" i="19"/>
  <c r="G107" i="19"/>
  <c r="H9" i="23"/>
  <c r="H85" i="19"/>
  <c r="G223" i="22" l="1"/>
  <c r="G174" i="22"/>
  <c r="G23" i="22"/>
  <c r="G89" i="22"/>
  <c r="H42" i="19"/>
  <c r="I109" i="19"/>
  <c r="I108" i="19" l="1"/>
  <c r="H23" i="23"/>
  <c r="I21" i="23"/>
  <c r="H21" i="23"/>
  <c r="G21" i="23"/>
  <c r="D8" i="21"/>
  <c r="C8" i="21"/>
  <c r="D23" i="20"/>
  <c r="D21" i="20"/>
  <c r="C23" i="20"/>
  <c r="C21" i="20"/>
  <c r="C9" i="20"/>
  <c r="C7" i="20"/>
  <c r="G97" i="19"/>
  <c r="G100" i="19"/>
  <c r="G53" i="19"/>
  <c r="G58" i="19"/>
  <c r="G64" i="19"/>
  <c r="G50" i="19"/>
  <c r="G48" i="19"/>
  <c r="G30" i="19"/>
  <c r="I22" i="19"/>
  <c r="H21" i="19"/>
  <c r="H29" i="19"/>
  <c r="H11" i="19" s="1"/>
  <c r="I27" i="19"/>
  <c r="I24" i="19" s="1"/>
  <c r="I11" i="19" s="1"/>
  <c r="I10" i="19" s="1"/>
  <c r="G19" i="19"/>
  <c r="I12" i="23"/>
  <c r="H12" i="23"/>
  <c r="H15" i="23" s="1"/>
  <c r="J9" i="23"/>
  <c r="G22" i="19"/>
  <c r="E8" i="21"/>
  <c r="E21" i="20"/>
  <c r="E23" i="20"/>
  <c r="E7" i="20"/>
  <c r="E6" i="20" s="1"/>
  <c r="D7" i="20"/>
  <c r="H99" i="19"/>
  <c r="H18" i="19"/>
  <c r="I50" i="19"/>
  <c r="I97" i="19"/>
  <c r="I100" i="19"/>
  <c r="E7" i="21" l="1"/>
  <c r="G8" i="21"/>
  <c r="F8" i="21"/>
  <c r="E20" i="20"/>
  <c r="D6" i="20"/>
  <c r="D25" i="20"/>
  <c r="D20" i="20" s="1"/>
  <c r="H92" i="19"/>
  <c r="G43" i="19"/>
  <c r="C6" i="20"/>
  <c r="I21" i="19"/>
  <c r="G52" i="19"/>
  <c r="C7" i="21"/>
  <c r="D7" i="21"/>
  <c r="D6" i="21" s="1"/>
  <c r="G85" i="19"/>
  <c r="G81" i="19"/>
  <c r="G99" i="19"/>
  <c r="G21" i="19"/>
  <c r="G29" i="19"/>
  <c r="G18" i="19"/>
  <c r="G15" i="23"/>
  <c r="C25" i="20"/>
  <c r="I48" i="19"/>
  <c r="I9" i="23"/>
  <c r="I15" i="23" s="1"/>
  <c r="H10" i="19"/>
  <c r="H111" i="19" s="1"/>
  <c r="G93" i="19"/>
  <c r="I107" i="19"/>
  <c r="I85" i="19"/>
  <c r="I99" i="19"/>
  <c r="I93" i="19"/>
  <c r="I30" i="19"/>
  <c r="I81" i="19"/>
  <c r="F20" i="20" l="1"/>
  <c r="G20" i="20"/>
  <c r="E6" i="21"/>
  <c r="F7" i="21"/>
  <c r="G7" i="21"/>
  <c r="G6" i="21"/>
  <c r="H41" i="19"/>
  <c r="C6" i="21"/>
  <c r="F6" i="21" s="1"/>
  <c r="C20" i="20"/>
  <c r="G23" i="23"/>
  <c r="G6" i="20"/>
  <c r="F6" i="20"/>
  <c r="G11" i="19"/>
  <c r="G10" i="19" s="1"/>
  <c r="G111" i="19" s="1"/>
  <c r="I92" i="19"/>
  <c r="G92" i="19"/>
  <c r="G42" i="19"/>
  <c r="J107" i="19"/>
  <c r="K107" i="19"/>
  <c r="I43" i="19"/>
  <c r="I29" i="19"/>
  <c r="I42" i="19" l="1"/>
  <c r="G41" i="19"/>
  <c r="I41" i="19" l="1"/>
  <c r="G112" i="19"/>
  <c r="K41" i="19" l="1"/>
  <c r="J41" i="19"/>
  <c r="G113" i="19"/>
  <c r="G114" i="19" s="1"/>
  <c r="J10" i="19"/>
  <c r="K10" i="19"/>
</calcChain>
</file>

<file path=xl/sharedStrings.xml><?xml version="1.0" encoding="utf-8"?>
<sst xmlns="http://schemas.openxmlformats.org/spreadsheetml/2006/main" count="569" uniqueCount="253">
  <si>
    <t>Rashodi za zaposlene</t>
  </si>
  <si>
    <t>Plaće</t>
  </si>
  <si>
    <t xml:space="preserve">Ostali rashodi za zaposlene </t>
  </si>
  <si>
    <t>Doprinosi na plaće</t>
  </si>
  <si>
    <t>Materijalni rashodi</t>
  </si>
  <si>
    <t>Naknade troškova zaposlenima</t>
  </si>
  <si>
    <t>Naknade za prijevoz, za rad na terenu i odvojeni život</t>
  </si>
  <si>
    <t>Rashodi za materijal i energiju</t>
  </si>
  <si>
    <t>Uredski materijal i ostali materijalni rashodi</t>
  </si>
  <si>
    <t>Rashodi za usluge</t>
  </si>
  <si>
    <t>Ostale usluge</t>
  </si>
  <si>
    <t>Ostali nespomenuti rashodi poslovanja</t>
  </si>
  <si>
    <t>Financijski rashodi</t>
  </si>
  <si>
    <t>Ostali financijski rashodi</t>
  </si>
  <si>
    <t>Postrojenja i oprema</t>
  </si>
  <si>
    <t>Rashodi za nabavu proizvedene dugotrajne imovine</t>
  </si>
  <si>
    <t>Pomoći iz inozemstva i od subjekata unutar općeg proračuna</t>
  </si>
  <si>
    <t>Prihodi iz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</si>
  <si>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</si>
  <si>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</si>
  <si>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po posebnim propisima</t>
  </si>
  <si>
    <t>Pomoći proračunskim korisnicima iz proračuna koji im nije nadležan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</si>
  <si>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</si>
  <si>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</si>
  <si>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</si>
  <si>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</si>
  <si>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</si>
  <si>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</si>
  <si>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</si>
  <si>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</si>
  <si>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</si>
  <si>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</si>
  <si>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</si>
  <si>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</si>
  <si>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</si>
  <si>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</si>
  <si>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</si>
  <si>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</si>
  <si>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</si>
  <si>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</si>
  <si>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</si>
  <si>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Pristojbe i naknade</t>
  </si>
  <si>
    <t>3299</t>
  </si>
  <si>
    <t>3431</t>
  </si>
  <si>
    <t>Bankarske usluge i usluge platnog prometa</t>
  </si>
  <si>
    <t xml:space="preserve">UKUPNO PRIHODI </t>
  </si>
  <si>
    <t>UKUPNO RASHODI</t>
  </si>
  <si>
    <t>Stručno usavršavanje zaposlenika</t>
  </si>
  <si>
    <t>Materijal i sirovine</t>
  </si>
  <si>
    <t>Sitni inventar i auto gume</t>
  </si>
  <si>
    <t>Intelektualne i osobne usluge</t>
  </si>
  <si>
    <t>Članarine i norme</t>
  </si>
  <si>
    <t>Knjige,umjetnička djela i ostale izložb.vrijednosti</t>
  </si>
  <si>
    <t>Knjige</t>
  </si>
  <si>
    <t>Naknade građanima i kućanstvima u naravi</t>
  </si>
  <si>
    <t>Prihodi od imovine</t>
  </si>
  <si>
    <t>Prihodi od financijske imovine</t>
  </si>
  <si>
    <t>Rashodi za dodatna ulaganja na nefinancijskoj imovini</t>
  </si>
  <si>
    <t>Dodatna ulaganja na građevinskim objektima</t>
  </si>
  <si>
    <t>Tekuće donacije</t>
  </si>
  <si>
    <t>IZVJEŠTAJ O PRIHODIMA I RASHODIMA PREMA IZVORIMA FINANCIRANJA</t>
  </si>
  <si>
    <t>BROJČANA OZNAKA I NAZIV</t>
  </si>
  <si>
    <t>INDEKS</t>
  </si>
  <si>
    <t>1 Opći prihodi i primici</t>
  </si>
  <si>
    <t>11 Opći prihodi i primici</t>
  </si>
  <si>
    <t>2 Doprinosi</t>
  </si>
  <si>
    <t>21 Doprinosi za mirovinsko osiguranje</t>
  </si>
  <si>
    <t>3 Vlastiti prihodi</t>
  </si>
  <si>
    <t>4 Pomoći</t>
  </si>
  <si>
    <t>44 Decentralizirana sredstva</t>
  </si>
  <si>
    <t xml:space="preserve">   43 Prihodi za posebne namjene</t>
  </si>
  <si>
    <t>32 Vlastiti prihodi PK - prenesena sredstva</t>
  </si>
  <si>
    <t>5 Ostale pomoći PK</t>
  </si>
  <si>
    <t>58 Ostale pomoći PK</t>
  </si>
  <si>
    <t>6 Donacije</t>
  </si>
  <si>
    <t>62 Donacije PK</t>
  </si>
  <si>
    <t>IZVJEŠTAJ O RASHODIMA PREMA FUNKCIJSKOJ KLASIFIKACIJI</t>
  </si>
  <si>
    <t>II. POSEBNI DIO</t>
  </si>
  <si>
    <t>IZVJEŠTAJ PO PROGRAMSKOJ KLASIFIKACIJI</t>
  </si>
  <si>
    <t>09 Obrazovanje</t>
  </si>
  <si>
    <t>9112 Osnovno obrazovanje</t>
  </si>
  <si>
    <t>096 Dodatne usluge u obrazovanju</t>
  </si>
  <si>
    <t>Program 1207</t>
  </si>
  <si>
    <t>Zakonski standard ustanova u obrazovanju</t>
  </si>
  <si>
    <t>1.1.1.</t>
  </si>
  <si>
    <t>Opći izvori i primici</t>
  </si>
  <si>
    <t>4.4.1.</t>
  </si>
  <si>
    <t>5.8.1.</t>
  </si>
  <si>
    <t>Decentralizirana sredstva</t>
  </si>
  <si>
    <t>Ostale pomoći PK</t>
  </si>
  <si>
    <t>Aktivnost A120701</t>
  </si>
  <si>
    <t>Osiguravanje uvijeta rada za redovno poslovanje osnovne škole</t>
  </si>
  <si>
    <t>Rashodi za nabavu nefinacijske imovine</t>
  </si>
  <si>
    <t>Program 1208</t>
  </si>
  <si>
    <t>Program ustanova u obrazovanju iznad standarda</t>
  </si>
  <si>
    <t>4.3.1.</t>
  </si>
  <si>
    <t>Prihodi za posebne namjene - proračunski korisnici</t>
  </si>
  <si>
    <t>Aktivnost A120801</t>
  </si>
  <si>
    <t>Financiranje radnih materijala za učenike osnovnih škola</t>
  </si>
  <si>
    <t>Naknade građanima i kućanstvima iz proračuna</t>
  </si>
  <si>
    <t>Aktivnost A120808</t>
  </si>
  <si>
    <t>Nabava udžbenika za učenike OŠ</t>
  </si>
  <si>
    <t>Aktivnost A120810</t>
  </si>
  <si>
    <t>Ostale aktivnosti OŠ</t>
  </si>
  <si>
    <t>Aktivnost A120811</t>
  </si>
  <si>
    <t>Dodatne djelatnosti OŠ</t>
  </si>
  <si>
    <t>Aktivnost A120819</t>
  </si>
  <si>
    <t>Aktivnost A120818</t>
  </si>
  <si>
    <t>Organizacija prehrane u OŠ</t>
  </si>
  <si>
    <t>Projekt Opskrbe školskih ustanova higijenskim potrepštinama za učenice OŠ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</si>
  <si>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</si>
  <si>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</si>
  <si>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</si>
  <si>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</si>
  <si>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</si>
  <si>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</si>
  <si>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8 PRIMICI OD FINANCIJSKE IMOVINE I ZADUŽIVANJA</t>
  </si>
  <si>
    <t>5 IZDACI ZA FINANCIJSKU IMOVINU I OTPLATE ZAJMOVA</t>
  </si>
  <si>
    <t>I. OPĆI DIO</t>
  </si>
  <si>
    <t>Prihodi poslovanja</t>
  </si>
  <si>
    <t xml:space="preserve"> RAČUN PRIHODA I RASHODA </t>
  </si>
  <si>
    <t>IZVJEŠTAJ O PRIHODIMA I RASHODIMA PREMA EKONOMSKOJ KLASIFIKACIJI</t>
  </si>
  <si>
    <t>Tekuće pomoći proračunskim korisnicima iz proračuna koji im nije nadležan</t>
  </si>
  <si>
    <t>Kapitalne pomoći proračunskim korinsicima iz proračuna koji im nije nadležan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</si>
  <si>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</si>
  <si>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</si>
  <si>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Donacije od pravnih i fizičkih osoba izvan općeg proračuna i povrat donacija po protestiranim jamstvima</t>
  </si>
  <si>
    <t>Prihodi od nadležnog proračuna za financiranje redovne djelatnosti proračunskih korisnika</t>
  </si>
  <si>
    <t>Kamate na oročena sredstva i depozite po viđenju</t>
  </si>
  <si>
    <t>Ostali neposmenuti prihodi</t>
  </si>
  <si>
    <t>Plaće za posbene uvjete rada</t>
  </si>
  <si>
    <t>Naknade građanima i kućanstvima na temelju osiguranja i druge naknade</t>
  </si>
  <si>
    <t>Ostale naknade građanima i kućanstvima iz proračuna</t>
  </si>
  <si>
    <t>Ostali rashodi</t>
  </si>
  <si>
    <t>Tekuće donacije u naravi</t>
  </si>
  <si>
    <t>Rahodi za nabavu nefinancijske imovine</t>
  </si>
  <si>
    <t>UKUPNI PRIHODI</t>
  </si>
  <si>
    <t>Rashodi poslovanja</t>
  </si>
  <si>
    <t>UKUPNI RASHODI</t>
  </si>
  <si>
    <t>SAŽETAK RAČUNA FINANCIRANJA</t>
  </si>
  <si>
    <t>RAZLIKA - VIŠAK/MANJAK</t>
  </si>
  <si>
    <t xml:space="preserve">   52 Ostale pomoći - prenesena sredstva</t>
  </si>
  <si>
    <r>
      <rPr>
        <b/>
        <i/>
        <sz val="10"/>
        <rFont val="Arial"/>
        <family val="2"/>
        <charset val="238"/>
      </rPr>
      <t>091</t>
    </r>
    <r>
      <rPr>
        <i/>
        <sz val="10"/>
        <rFont val="Arial"/>
        <family val="2"/>
        <charset val="238"/>
      </rPr>
      <t xml:space="preserve"> Predskolško i osnovno obrazovanje</t>
    </r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</si>
  <si>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</si>
  <si>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</si>
  <si>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</si>
  <si>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</si>
  <si>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</si>
  <si>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</si>
  <si>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</si>
  <si>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</si>
  <si>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</si>
  <si>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</si>
  <si>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</si>
  <si>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</si>
  <si>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>UKUPNI IZDACI</t>
  </si>
  <si>
    <t>RAZLIKA PRIMITAKA I IZDATAKA</t>
  </si>
  <si>
    <t>PRENESENI VIŠAK/MANJAK IZ PRETHODNE GODINE</t>
  </si>
  <si>
    <t>PRIJENOS VIŠKA/MANJKA U SLJEDEĆE RAZDOBLJE</t>
  </si>
  <si>
    <t xml:space="preserve">SAŽETAK  RAČUNA PRIHODA I RASHODA </t>
  </si>
  <si>
    <t>Rezultat poslovanja</t>
  </si>
  <si>
    <t>Vlastiti izvori</t>
  </si>
  <si>
    <t>Višak/manjak prihoda</t>
  </si>
  <si>
    <t>UKUPNO PRIHODI+VIŠAK KORIŠTEN ZA POKRIĆE RASHODA</t>
  </si>
  <si>
    <t>Korisnik</t>
  </si>
  <si>
    <t>Plaće za posebne uvjete rada</t>
  </si>
  <si>
    <t>Ostali rashodi za zaposlene</t>
  </si>
  <si>
    <t>Doprisnosi za obvezno zdravstveno osiguranje</t>
  </si>
  <si>
    <t>Namirnice</t>
  </si>
  <si>
    <t xml:space="preserve">REZULTAT GODINE:UKUPNI RASHODI+POKRIVENI MANJAK </t>
  </si>
  <si>
    <t>OSTVARENJE/IZVRŠENJE 
2024.</t>
  </si>
  <si>
    <t>OSTVARENJE/IZVRŠENJE 2024.</t>
  </si>
  <si>
    <t xml:space="preserve">IZVRŠENJE 
2024. </t>
  </si>
  <si>
    <t>Manjak prihoda</t>
  </si>
  <si>
    <t>5.8.2.</t>
  </si>
  <si>
    <t>Ostale pomoći PK - prenesena sredstva</t>
  </si>
  <si>
    <t>Naknade za prijevoz, rad na terenu i odvojeni život</t>
  </si>
  <si>
    <t>Uredska oprema i namještaj</t>
  </si>
  <si>
    <t>REZULTAT TEKUĆE GODINE</t>
  </si>
  <si>
    <t>REZULTAT GODINE</t>
  </si>
  <si>
    <t>-</t>
  </si>
  <si>
    <t xml:space="preserve">   4.3.1. Prihodi za posebne namjene</t>
  </si>
  <si>
    <t>4.4.1. Decentralizirana sredstva</t>
  </si>
  <si>
    <t>3.2.1. Vlastiti prihodi PK</t>
  </si>
  <si>
    <t>1.1.1. Opći prihodi i primici</t>
  </si>
  <si>
    <t>3.2.1. Vlastiti prihodi</t>
  </si>
  <si>
    <t>Prihodi od pruženih usluga</t>
  </si>
  <si>
    <t>Kazne i upravne mjere i ostali prihodi</t>
  </si>
  <si>
    <t>Ostali prihodi</t>
  </si>
  <si>
    <t>Pomoći od izvanproračunskih korisnika</t>
  </si>
  <si>
    <t>Tekuće pomoći od izvanpraorčaunskih korisnika</t>
  </si>
  <si>
    <t>Naknade troškova osobama izvan radnog odnosa</t>
  </si>
  <si>
    <t>Premije osiguranja</t>
  </si>
  <si>
    <t>Reprezentacija</t>
  </si>
  <si>
    <t>Zatezne kamate</t>
  </si>
  <si>
    <t xml:space="preserve">   5.6.1. Fondovi EU</t>
  </si>
  <si>
    <t xml:space="preserve">5.8.1. Ostale pomoći PK </t>
  </si>
  <si>
    <t>5.2.1. Ostale pomoći</t>
  </si>
  <si>
    <t>098 Usluge obrazovanja koje nisu drugdje svrstane</t>
  </si>
  <si>
    <t>Program 1206</t>
  </si>
  <si>
    <t>EU projekti UO za obrazovanje, kulturu i sport</t>
  </si>
  <si>
    <t>5.6.1.</t>
  </si>
  <si>
    <t>Opći prihodi i primici</t>
  </si>
  <si>
    <t>Fondovi EU</t>
  </si>
  <si>
    <t xml:space="preserve">Tekući projekt T120602 </t>
  </si>
  <si>
    <t>Zajedno možemo sve! - osiguranje pomoćnika u nastavi za učenike s teškoćama</t>
  </si>
  <si>
    <t>Naknade za prijevoz, za rad na terenu i za odvojeni život</t>
  </si>
  <si>
    <t>5.2.1.</t>
  </si>
  <si>
    <t>Ostale pomoći</t>
  </si>
  <si>
    <t>Tekući projekt T120608</t>
  </si>
  <si>
    <t>Školska shema</t>
  </si>
  <si>
    <t>3.2.1.</t>
  </si>
  <si>
    <t>Vlastiti prihod - prorčaunski korisnici</t>
  </si>
  <si>
    <t>4.3.2.</t>
  </si>
  <si>
    <t>Prihodi za posebne namjene PK - prenesena sredstva</t>
  </si>
  <si>
    <t>Usluge promidžbe i informiranja</t>
  </si>
  <si>
    <t>Zdravstvene i veterinarske usluge</t>
  </si>
  <si>
    <t>Tekući projekt T120802</t>
  </si>
  <si>
    <t>Financiranje produženog boravka u osnovnim školama</t>
  </si>
  <si>
    <t>Ostale pomoći proračunski korisnici</t>
  </si>
  <si>
    <t>K006</t>
  </si>
  <si>
    <t>Osnovna škola Slano</t>
  </si>
  <si>
    <t>Glava: 10202</t>
  </si>
  <si>
    <t xml:space="preserve">Usluge telefona, pošte i prijevoza </t>
  </si>
  <si>
    <t>Ostale pomoći proračunski korisnici - prenesena sredstva</t>
  </si>
  <si>
    <t>Ostale pomoći proračunskim korisnicima - prenesena sredstva</t>
  </si>
  <si>
    <t>4.4.2.</t>
  </si>
  <si>
    <t>Decentralizirana prenesena sredstva</t>
  </si>
  <si>
    <t xml:space="preserve">  4.3.2. Prihod za posebne namjene - prenesena sredstva </t>
  </si>
  <si>
    <t>Plaće (bruto)</t>
  </si>
  <si>
    <t>Knjige, umjetnička djela i ostale izložbene vrijednosti</t>
  </si>
  <si>
    <t>Aktivnost A120804</t>
  </si>
  <si>
    <t>Financiranje školskih projekata</t>
  </si>
  <si>
    <t>GODIŠNJI IZVJEŠTAJ O IZVRŠENJU FINANCIJSKOG PLANA PRORAČUNSKOG KORISNIKA JEDINICE LOKALNE I PODRUČNE (REGIONALNE) SAMOUPRAVE 
ZA 2025. GODINU</t>
  </si>
  <si>
    <t>OSTVARENJE/IZVRŠENJE 
2025.</t>
  </si>
  <si>
    <t>REBALANS 2025.</t>
  </si>
  <si>
    <t>OSTVARENJE/IZVRŠENJE 2025.</t>
  </si>
  <si>
    <t xml:space="preserve">REBALANS 2025. </t>
  </si>
  <si>
    <t xml:space="preserve">OSTVARENJE/IZVRŠENJE 
2024. </t>
  </si>
  <si>
    <t xml:space="preserve">IZVRŠENJE 
2025. </t>
  </si>
  <si>
    <t>Plaće za prekovremeni rad</t>
  </si>
  <si>
    <t>Ostale naknade troškova zaposlenih</t>
  </si>
  <si>
    <t>Naknade građanima i kućanstvima u novcu</t>
  </si>
  <si>
    <t>Oprema za održavanje i zaštitu</t>
  </si>
  <si>
    <t xml:space="preserve"> IZVRŠENJE 
2025. </t>
  </si>
  <si>
    <t>Plaća za prekovremeni rad</t>
  </si>
  <si>
    <t>Naknade građanima i kućanstvima na temelju osiguranja i drugih nakanada</t>
  </si>
  <si>
    <t>Ostale naknade iz proračuna u novcu</t>
  </si>
  <si>
    <t>Ostale naknade iz proračuna u naravi</t>
  </si>
  <si>
    <t>Tečajevi i stručni ispiti</t>
  </si>
  <si>
    <t>Naknada korištenja privatnog automobila u službene svrhe</t>
  </si>
  <si>
    <t>Oprema za održavanje</t>
  </si>
  <si>
    <t>OSNOVNA ŠKOLA SLANO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</si>
</sst>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"/>
    <numFmt numFmtId="165" formatCode="#,##0.00\ _k_n"/>
    <numFmt numFmtId="166" formatCode="#,##0.00000\ _k_n"/>
    <numFmt numFmtId="167" formatCode="_-* #,##0.00\ _k_n_-;\-* #,##0.00\ _k_n_-;_-* &quot;-&quot;??\ _k_n_-;_-@_-"/>
    <numFmt numFmtId="168" formatCode="#,##0\ _k_n"/>
    <numFmt numFmtId="169" formatCode="#,##0.00\ _k_n;\-#,##0.00\ _k_n"/>
    <numFmt numFmtId="170" formatCode="#,##0.00_ ;\-#,##0.00\ "/>
  </numFmts>
  <fonts count="35">
    <font>
      <sz val="10"/>
      <name val="Arial"/>
    </font>
    <font>
      <sz val="10"/>
      <name val="Arial"/>
      <family val="2"/>
      <charset val="238"/>
    </font>
    <font>
      <b/>
      <i/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color indexed="8"/>
      <name val="Times New Roman"/>
      <family val="1"/>
    </font>
    <font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MS Sans Serif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el"/>
      <charset val="238"/>
    </font>
    <font>
      <b/>
      <sz val="10"/>
      <name val="Ariel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10" fillId="0" borderId="0"/>
  </cellStyleXfs>
  <cellXfs count="345">
    <xf numFmtId="0" fontId="0" fillId="0" borderId="0" xfId="0"/>
    <xf numFmtId="3" fontId="4" fillId="0" borderId="0" xfId="0" applyNumberFormat="1" applyFont="1"/>
    <xf numFmtId="49" fontId="5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/>
    <xf numFmtId="3" fontId="9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right"/>
    </xf>
    <xf numFmtId="0" fontId="21" fillId="4" borderId="1" xfId="0" quotePrefix="1" applyFont="1" applyFill="1" applyBorder="1" applyAlignment="1">
      <alignment horizontal="left" vertical="center" wrapText="1" indent="1"/>
    </xf>
    <xf numFmtId="0" fontId="21" fillId="4" borderId="1" xfId="0" applyFont="1" applyFill="1" applyBorder="1" applyAlignment="1">
      <alignment horizontal="left" vertical="center" wrapText="1" indent="1"/>
    </xf>
    <xf numFmtId="2" fontId="0" fillId="0" borderId="0" xfId="0" applyNumberFormat="1"/>
    <xf numFmtId="0" fontId="22" fillId="4" borderId="1" xfId="0" applyFont="1" applyFill="1" applyBorder="1" applyAlignment="1">
      <alignment vertical="top" wrapText="1"/>
    </xf>
    <xf numFmtId="0" fontId="21" fillId="4" borderId="1" xfId="0" quotePrefix="1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9" fillId="0" borderId="0" xfId="0" applyFont="1"/>
    <xf numFmtId="0" fontId="17" fillId="4" borderId="2" xfId="0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14" fontId="17" fillId="4" borderId="3" xfId="0" applyNumberFormat="1" applyFont="1" applyFill="1" applyBorder="1" applyAlignment="1">
      <alignment horizontal="left" vertical="center" wrapText="1"/>
    </xf>
    <xf numFmtId="4" fontId="17" fillId="4" borderId="1" xfId="0" applyNumberFormat="1" applyFont="1" applyFill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6" fontId="12" fillId="0" borderId="0" xfId="0" applyNumberFormat="1" applyFont="1"/>
    <xf numFmtId="165" fontId="12" fillId="0" borderId="0" xfId="0" applyNumberFormat="1" applyFont="1"/>
    <xf numFmtId="0" fontId="23" fillId="0" borderId="1" xfId="0" quotePrefix="1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6" fillId="0" borderId="0" xfId="1" quotePrefix="1" applyFont="1" applyAlignment="1">
      <alignment horizontal="left" wrapText="1"/>
    </xf>
    <xf numFmtId="0" fontId="26" fillId="0" borderId="0" xfId="1" applyFont="1" applyAlignment="1">
      <alignment wrapText="1"/>
    </xf>
    <xf numFmtId="0" fontId="26" fillId="0" borderId="0" xfId="1" applyFont="1"/>
    <xf numFmtId="0" fontId="23" fillId="0" borderId="4" xfId="0" quotePrefix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9" fillId="4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31" fillId="0" borderId="0" xfId="0" applyFont="1"/>
    <xf numFmtId="1" fontId="20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20" fillId="0" borderId="2" xfId="0" quotePrefix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quotePrefix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0" fillId="0" borderId="7" xfId="0" quotePrefix="1" applyFont="1" applyBorder="1" applyAlignment="1">
      <alignment horizontal="center" vertical="center" wrapText="1"/>
    </xf>
    <xf numFmtId="0" fontId="20" fillId="0" borderId="6" xfId="0" quotePrefix="1" applyFont="1" applyBorder="1" applyAlignment="1">
      <alignment horizontal="center" vertical="center" wrapText="1"/>
    </xf>
    <xf numFmtId="0" fontId="20" fillId="0" borderId="6" xfId="0" quotePrefix="1" applyFont="1" applyBorder="1" applyAlignment="1">
      <alignment horizontal="left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/>
    <xf numFmtId="3" fontId="20" fillId="0" borderId="1" xfId="0" applyNumberFormat="1" applyFont="1" applyBorder="1" applyAlignment="1">
      <alignment horizontal="left" vertical="center" wrapText="1"/>
    </xf>
    <xf numFmtId="3" fontId="1" fillId="0" borderId="2" xfId="0" applyNumberFormat="1" applyFont="1" applyBorder="1"/>
    <xf numFmtId="3" fontId="1" fillId="0" borderId="1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3" fontId="22" fillId="0" borderId="1" xfId="0" applyNumberFormat="1" applyFont="1" applyBorder="1"/>
    <xf numFmtId="0" fontId="22" fillId="0" borderId="1" xfId="0" applyFont="1" applyBorder="1" applyAlignment="1">
      <alignment horizontal="left" vertical="center"/>
    </xf>
    <xf numFmtId="3" fontId="21" fillId="0" borderId="1" xfId="0" applyNumberFormat="1" applyFont="1" applyBorder="1"/>
    <xf numFmtId="0" fontId="18" fillId="0" borderId="0" xfId="0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165" fontId="20" fillId="2" borderId="1" xfId="0" quotePrefix="1" applyNumberFormat="1" applyFont="1" applyFill="1" applyBorder="1" applyAlignment="1">
      <alignment horizontal="center" vertical="center" wrapText="1"/>
    </xf>
    <xf numFmtId="165" fontId="20" fillId="2" borderId="6" xfId="0" quotePrefix="1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right"/>
    </xf>
    <xf numFmtId="0" fontId="21" fillId="0" borderId="1" xfId="0" applyFont="1" applyBorder="1"/>
    <xf numFmtId="1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quotePrefix="1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3" fontId="4" fillId="3" borderId="1" xfId="0" applyNumberFormat="1" applyFont="1" applyFill="1" applyBorder="1"/>
    <xf numFmtId="0" fontId="8" fillId="3" borderId="6" xfId="0" applyFont="1" applyFill="1" applyBorder="1" applyAlignment="1">
      <alignment horizontal="center" vertical="center" wrapText="1"/>
    </xf>
    <xf numFmtId="3" fontId="8" fillId="3" borderId="6" xfId="0" quotePrefix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quotePrefix="1" applyFont="1" applyFill="1" applyBorder="1" applyAlignment="1">
      <alignment horizontal="left" vertical="center"/>
    </xf>
    <xf numFmtId="0" fontId="1" fillId="4" borderId="1" xfId="0" quotePrefix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0" fillId="0" borderId="1" xfId="0" applyNumberFormat="1" applyBorder="1"/>
    <xf numFmtId="0" fontId="2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top" wrapText="1"/>
    </xf>
    <xf numFmtId="0" fontId="22" fillId="4" borderId="1" xfId="0" applyFont="1" applyFill="1" applyBorder="1" applyAlignment="1">
      <alignment vertical="center"/>
    </xf>
    <xf numFmtId="0" fontId="31" fillId="4" borderId="0" xfId="0" applyFont="1" applyFill="1"/>
    <xf numFmtId="1" fontId="20" fillId="3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3" fontId="3" fillId="0" borderId="11" xfId="0" applyNumberFormat="1" applyFont="1" applyBorder="1"/>
    <xf numFmtId="3" fontId="4" fillId="3" borderId="6" xfId="0" applyNumberFormat="1" applyFont="1" applyFill="1" applyBorder="1"/>
    <xf numFmtId="0" fontId="20" fillId="3" borderId="6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17" fillId="4" borderId="8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3" fontId="17" fillId="4" borderId="6" xfId="0" applyNumberFormat="1" applyFont="1" applyFill="1" applyBorder="1" applyAlignment="1">
      <alignment horizontal="left" vertical="center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9" fillId="3" borderId="1" xfId="0" quotePrefix="1" applyFont="1" applyFill="1" applyBorder="1" applyAlignment="1">
      <alignment horizontal="center" vertical="center" wrapText="1"/>
    </xf>
    <xf numFmtId="167" fontId="0" fillId="0" borderId="1" xfId="0" applyNumberFormat="1" applyBorder="1"/>
    <xf numFmtId="168" fontId="17" fillId="0" borderId="1" xfId="0" applyNumberFormat="1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/>
    <xf numFmtId="165" fontId="1" fillId="2" borderId="1" xfId="0" applyNumberFormat="1" applyFont="1" applyFill="1" applyBorder="1" applyAlignment="1">
      <alignment vertic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165" fontId="17" fillId="4" borderId="1" xfId="0" applyNumberFormat="1" applyFont="1" applyFill="1" applyBorder="1" applyAlignment="1">
      <alignment horizontal="center"/>
    </xf>
    <xf numFmtId="165" fontId="17" fillId="4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19" fillId="4" borderId="1" xfId="0" applyNumberFormat="1" applyFont="1" applyFill="1" applyBorder="1" applyAlignment="1">
      <alignment horizontal="center"/>
    </xf>
    <xf numFmtId="165" fontId="19" fillId="4" borderId="1" xfId="0" applyNumberFormat="1" applyFont="1" applyFill="1" applyBorder="1" applyAlignment="1">
      <alignment horizontal="center" wrapText="1"/>
    </xf>
    <xf numFmtId="169" fontId="17" fillId="0" borderId="1" xfId="0" applyNumberFormat="1" applyFont="1" applyBorder="1" applyAlignment="1">
      <alignment horizontal="center" vertical="center"/>
    </xf>
    <xf numFmtId="169" fontId="19" fillId="3" borderId="1" xfId="0" applyNumberFormat="1" applyFont="1" applyFill="1" applyBorder="1" applyAlignment="1">
      <alignment horizontal="center" vertical="center"/>
    </xf>
    <xf numFmtId="169" fontId="19" fillId="3" borderId="1" xfId="0" applyNumberFormat="1" applyFont="1" applyFill="1" applyBorder="1" applyAlignment="1">
      <alignment horizontal="center" vertical="center" wrapText="1"/>
    </xf>
    <xf numFmtId="169" fontId="19" fillId="0" borderId="1" xfId="0" quotePrefix="1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9" fontId="20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 wrapText="1"/>
    </xf>
    <xf numFmtId="169" fontId="20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0" fontId="1" fillId="0" borderId="2" xfId="0" quotePrefix="1" applyFont="1" applyBorder="1" applyAlignment="1">
      <alignment horizontal="left" vertical="center" wrapText="1"/>
    </xf>
    <xf numFmtId="0" fontId="21" fillId="4" borderId="1" xfId="0" applyFont="1" applyFill="1" applyBorder="1" applyAlignment="1">
      <alignment vertical="top" wrapText="1"/>
    </xf>
    <xf numFmtId="3" fontId="17" fillId="4" borderId="5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4" fontId="17" fillId="4" borderId="4" xfId="0" applyNumberFormat="1" applyFont="1" applyFill="1" applyBorder="1" applyAlignment="1">
      <alignment horizontal="left" vertical="center" wrapText="1"/>
    </xf>
    <xf numFmtId="14" fontId="17" fillId="4" borderId="2" xfId="0" applyNumberFormat="1" applyFont="1" applyFill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/>
    <xf numFmtId="168" fontId="0" fillId="0" borderId="1" xfId="0" applyNumberFormat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horizontal="left" vertical="center" wrapText="1"/>
    </xf>
    <xf numFmtId="4" fontId="17" fillId="4" borderId="5" xfId="0" applyNumberFormat="1" applyFont="1" applyFill="1" applyBorder="1" applyAlignment="1">
      <alignment horizontal="left" vertical="center"/>
    </xf>
    <xf numFmtId="4" fontId="19" fillId="4" borderId="18" xfId="0" applyNumberFormat="1" applyFont="1" applyFill="1" applyBorder="1" applyAlignment="1">
      <alignment horizontal="left" vertical="center"/>
    </xf>
    <xf numFmtId="14" fontId="17" fillId="4" borderId="8" xfId="0" applyNumberFormat="1" applyFont="1" applyFill="1" applyBorder="1" applyAlignment="1">
      <alignment horizontal="left" vertical="center" wrapText="1"/>
    </xf>
    <xf numFmtId="14" fontId="17" fillId="4" borderId="10" xfId="0" applyNumberFormat="1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3" fontId="19" fillId="4" borderId="18" xfId="0" applyNumberFormat="1" applyFont="1" applyFill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5" fontId="0" fillId="0" borderId="10" xfId="0" applyNumberForma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14" fontId="17" fillId="0" borderId="3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center"/>
    </xf>
    <xf numFmtId="0" fontId="17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5" fontId="1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vertical="center"/>
    </xf>
    <xf numFmtId="165" fontId="19" fillId="4" borderId="1" xfId="0" applyNumberFormat="1" applyFont="1" applyFill="1" applyBorder="1" applyAlignment="1">
      <alignment horizontal="right"/>
    </xf>
    <xf numFmtId="167" fontId="20" fillId="0" borderId="1" xfId="0" applyNumberFormat="1" applyFont="1" applyBorder="1"/>
    <xf numFmtId="3" fontId="19" fillId="4" borderId="1" xfId="0" applyNumberFormat="1" applyFont="1" applyFill="1" applyBorder="1" applyAlignment="1">
      <alignment horizontal="right"/>
    </xf>
    <xf numFmtId="165" fontId="20" fillId="0" borderId="1" xfId="0" applyNumberFormat="1" applyFont="1" applyBorder="1"/>
    <xf numFmtId="0" fontId="19" fillId="3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14" fontId="17" fillId="4" borderId="3" xfId="0" applyNumberFormat="1" applyFont="1" applyFill="1" applyBorder="1" applyAlignment="1">
      <alignment horizontal="left" vertical="center" wrapText="1"/>
    </xf>
    <xf numFmtId="14" fontId="17" fillId="4" borderId="4" xfId="0" applyNumberFormat="1" applyFont="1" applyFill="1" applyBorder="1" applyAlignment="1">
      <alignment horizontal="left" vertical="center" wrapText="1"/>
    </xf>
    <xf numFmtId="14" fontId="17" fillId="4" borderId="2" xfId="0" applyNumberFormat="1" applyFont="1" applyFill="1" applyBorder="1" applyAlignment="1">
      <alignment horizontal="left" vertical="center" wrapText="1"/>
    </xf>
    <xf numFmtId="0" fontId="20" fillId="3" borderId="1" xfId="0" quotePrefix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/>
    </xf>
    <xf numFmtId="165" fontId="17" fillId="0" borderId="1" xfId="0" applyNumberFormat="1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0" fontId="1" fillId="0" borderId="0" xfId="0" applyFont="1"/>
    <xf numFmtId="170" fontId="0" fillId="0" borderId="1" xfId="0" applyNumberFormat="1" applyBorder="1" applyAlignment="1">
      <alignment horizontal="right"/>
    </xf>
    <xf numFmtId="0" fontId="19" fillId="4" borderId="17" xfId="0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/>
    </xf>
    <xf numFmtId="4" fontId="19" fillId="4" borderId="1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1" fontId="19" fillId="4" borderId="20" xfId="0" applyNumberFormat="1" applyFont="1" applyFill="1" applyBorder="1" applyAlignment="1">
      <alignment horizontal="center" vertical="center"/>
    </xf>
    <xf numFmtId="165" fontId="17" fillId="0" borderId="3" xfId="0" applyNumberFormat="1" applyFont="1" applyBorder="1" applyAlignment="1">
      <alignment horizontal="left" vertical="center"/>
    </xf>
    <xf numFmtId="165" fontId="19" fillId="4" borderId="22" xfId="0" applyNumberFormat="1" applyFont="1" applyFill="1" applyBorder="1" applyAlignment="1">
      <alignment horizontal="left" vertical="center"/>
    </xf>
    <xf numFmtId="165" fontId="17" fillId="4" borderId="10" xfId="0" applyNumberFormat="1" applyFont="1" applyFill="1" applyBorder="1" applyAlignment="1">
      <alignment horizontal="left" vertical="center"/>
    </xf>
    <xf numFmtId="165" fontId="17" fillId="4" borderId="3" xfId="0" applyNumberFormat="1" applyFont="1" applyFill="1" applyBorder="1" applyAlignment="1">
      <alignment horizontal="left" vertical="center"/>
    </xf>
    <xf numFmtId="165" fontId="19" fillId="4" borderId="3" xfId="0" applyNumberFormat="1" applyFont="1" applyFill="1" applyBorder="1" applyAlignment="1">
      <alignment horizontal="left" vertical="center"/>
    </xf>
    <xf numFmtId="165" fontId="17" fillId="4" borderId="8" xfId="0" applyNumberFormat="1" applyFont="1" applyFill="1" applyBorder="1" applyAlignment="1">
      <alignment horizontal="left" vertical="center"/>
    </xf>
    <xf numFmtId="4" fontId="19" fillId="4" borderId="22" xfId="0" applyNumberFormat="1" applyFont="1" applyFill="1" applyBorder="1" applyAlignment="1">
      <alignment horizontal="left" vertical="center"/>
    </xf>
    <xf numFmtId="4" fontId="17" fillId="4" borderId="10" xfId="0" applyNumberFormat="1" applyFont="1" applyFill="1" applyBorder="1" applyAlignment="1">
      <alignment horizontal="left" vertical="center"/>
    </xf>
    <xf numFmtId="4" fontId="17" fillId="4" borderId="3" xfId="0" applyNumberFormat="1" applyFont="1" applyFill="1" applyBorder="1" applyAlignment="1">
      <alignment horizontal="left" vertical="center"/>
    </xf>
    <xf numFmtId="4" fontId="20" fillId="0" borderId="3" xfId="0" applyNumberFormat="1" applyFont="1" applyBorder="1" applyAlignment="1">
      <alignment horizontal="left" vertical="center"/>
    </xf>
    <xf numFmtId="4" fontId="0" fillId="0" borderId="3" xfId="0" applyNumberFormat="1" applyBorder="1" applyAlignment="1">
      <alignment horizontal="left" vertical="center"/>
    </xf>
    <xf numFmtId="4" fontId="17" fillId="0" borderId="3" xfId="0" applyNumberFormat="1" applyFont="1" applyBorder="1" applyAlignment="1">
      <alignment horizontal="left" vertical="center"/>
    </xf>
    <xf numFmtId="4" fontId="19" fillId="4" borderId="3" xfId="0" applyNumberFormat="1" applyFont="1" applyFill="1" applyBorder="1" applyAlignment="1">
      <alignment horizontal="left" vertical="center"/>
    </xf>
    <xf numFmtId="1" fontId="19" fillId="4" borderId="23" xfId="0" applyNumberFormat="1" applyFont="1" applyFill="1" applyBorder="1" applyAlignment="1">
      <alignment horizontal="center" vertical="center"/>
    </xf>
    <xf numFmtId="1" fontId="19" fillId="4" borderId="24" xfId="0" applyNumberFormat="1" applyFont="1" applyFill="1" applyBorder="1" applyAlignment="1">
      <alignment horizontal="center" vertical="center"/>
    </xf>
    <xf numFmtId="1" fontId="19" fillId="4" borderId="25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left" vertical="center"/>
    </xf>
    <xf numFmtId="4" fontId="17" fillId="4" borderId="8" xfId="0" applyNumberFormat="1" applyFont="1" applyFill="1" applyBorder="1" applyAlignment="1">
      <alignment horizontal="left" vertical="center"/>
    </xf>
    <xf numFmtId="1" fontId="19" fillId="4" borderId="26" xfId="0" applyNumberFormat="1" applyFont="1" applyFill="1" applyBorder="1" applyAlignment="1">
      <alignment horizontal="center" vertical="center"/>
    </xf>
    <xf numFmtId="1" fontId="19" fillId="4" borderId="27" xfId="0" applyNumberFormat="1" applyFont="1" applyFill="1" applyBorder="1" applyAlignment="1">
      <alignment horizontal="center" vertical="center"/>
    </xf>
    <xf numFmtId="1" fontId="19" fillId="4" borderId="21" xfId="0" applyNumberFormat="1" applyFont="1" applyFill="1" applyBorder="1" applyAlignment="1">
      <alignment horizontal="center" vertical="center"/>
    </xf>
    <xf numFmtId="14" fontId="17" fillId="0" borderId="8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3" fontId="17" fillId="0" borderId="6" xfId="0" applyNumberFormat="1" applyFont="1" applyBorder="1" applyAlignment="1">
      <alignment horizontal="left" vertical="center"/>
    </xf>
    <xf numFmtId="165" fontId="17" fillId="0" borderId="8" xfId="0" applyNumberFormat="1" applyFont="1" applyBorder="1" applyAlignment="1">
      <alignment horizontal="left" vertical="center"/>
    </xf>
    <xf numFmtId="0" fontId="20" fillId="3" borderId="3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vertical="center" wrapText="1"/>
    </xf>
    <xf numFmtId="0" fontId="19" fillId="3" borderId="3" xfId="0" quotePrefix="1" applyFont="1" applyFill="1" applyBorder="1" applyAlignment="1">
      <alignment horizontal="center" wrapText="1"/>
    </xf>
    <xf numFmtId="0" fontId="19" fillId="3" borderId="4" xfId="0" quotePrefix="1" applyFont="1" applyFill="1" applyBorder="1" applyAlignment="1">
      <alignment horizontal="center" wrapText="1"/>
    </xf>
    <xf numFmtId="0" fontId="19" fillId="3" borderId="2" xfId="0" quotePrefix="1" applyFont="1" applyFill="1" applyBorder="1" applyAlignment="1">
      <alignment horizontal="center" wrapText="1"/>
    </xf>
    <xf numFmtId="0" fontId="19" fillId="3" borderId="1" xfId="0" quotePrefix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 wrapText="1"/>
    </xf>
    <xf numFmtId="0" fontId="23" fillId="0" borderId="3" xfId="0" quotePrefix="1" applyFont="1" applyBorder="1" applyAlignment="1">
      <alignment horizont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wrapText="1"/>
    </xf>
    <xf numFmtId="0" fontId="19" fillId="0" borderId="3" xfId="0" quotePrefix="1" applyFont="1" applyBorder="1" applyAlignment="1">
      <alignment horizontal="left" wrapText="1"/>
    </xf>
    <xf numFmtId="0" fontId="19" fillId="0" borderId="4" xfId="0" quotePrefix="1" applyFont="1" applyBorder="1" applyAlignment="1">
      <alignment horizontal="left" wrapText="1"/>
    </xf>
    <xf numFmtId="0" fontId="20" fillId="0" borderId="3" xfId="0" quotePrefix="1" applyFont="1" applyBorder="1" applyAlignment="1">
      <alignment horizontal="left" vertical="center"/>
    </xf>
    <xf numFmtId="0" fontId="20" fillId="0" borderId="4" xfId="0" quotePrefix="1" applyFont="1" applyBorder="1" applyAlignment="1">
      <alignment horizontal="left" vertical="center"/>
    </xf>
    <xf numFmtId="0" fontId="20" fillId="0" borderId="3" xfId="0" quotePrefix="1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8" fillId="3" borderId="6" xfId="0" quotePrefix="1" applyFont="1" applyFill="1" applyBorder="1" applyAlignment="1">
      <alignment horizontal="center" vertical="center" wrapText="1"/>
    </xf>
    <xf numFmtId="0" fontId="28" fillId="3" borderId="8" xfId="0" quotePrefix="1" applyFont="1" applyFill="1" applyBorder="1" applyAlignment="1">
      <alignment horizontal="center" vertical="center" wrapText="1"/>
    </xf>
    <xf numFmtId="0" fontId="28" fillId="3" borderId="9" xfId="0" quotePrefix="1" applyFont="1" applyFill="1" applyBorder="1" applyAlignment="1">
      <alignment horizontal="center" vertical="center" wrapText="1"/>
    </xf>
    <xf numFmtId="0" fontId="28" fillId="3" borderId="7" xfId="0" quotePrefix="1" applyFont="1" applyFill="1" applyBorder="1" applyAlignment="1">
      <alignment horizontal="center" vertical="center" wrapText="1"/>
    </xf>
    <xf numFmtId="0" fontId="28" fillId="3" borderId="10" xfId="0" quotePrefix="1" applyFont="1" applyFill="1" applyBorder="1" applyAlignment="1">
      <alignment horizontal="center" vertical="center" wrapText="1"/>
    </xf>
    <xf numFmtId="0" fontId="28" fillId="3" borderId="11" xfId="0" quotePrefix="1" applyFont="1" applyFill="1" applyBorder="1" applyAlignment="1">
      <alignment horizontal="center" vertical="center" wrapText="1"/>
    </xf>
    <xf numFmtId="0" fontId="28" fillId="3" borderId="12" xfId="0" quotePrefix="1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8" fillId="3" borderId="7" xfId="0" quotePrefix="1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3" fontId="20" fillId="3" borderId="5" xfId="0" quotePrefix="1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8" fillId="3" borderId="1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4" xfId="0" quotePrefix="1" applyFont="1" applyFill="1" applyBorder="1" applyAlignment="1">
      <alignment horizontal="center" vertical="center" wrapText="1"/>
    </xf>
    <xf numFmtId="0" fontId="8" fillId="3" borderId="2" xfId="0" quotePrefix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14" fontId="19" fillId="4" borderId="19" xfId="0" applyNumberFormat="1" applyFont="1" applyFill="1" applyBorder="1" applyAlignment="1">
      <alignment horizontal="left" vertical="center" wrapText="1"/>
    </xf>
    <xf numFmtId="14" fontId="19" fillId="4" borderId="18" xfId="0" applyNumberFormat="1" applyFont="1" applyFill="1" applyBorder="1" applyAlignment="1">
      <alignment horizontal="left" vertical="center" wrapText="1"/>
    </xf>
    <xf numFmtId="14" fontId="19" fillId="4" borderId="3" xfId="0" applyNumberFormat="1" applyFont="1" applyFill="1" applyBorder="1" applyAlignment="1">
      <alignment horizontal="left" vertical="center" wrapText="1"/>
    </xf>
    <xf numFmtId="14" fontId="19" fillId="4" borderId="4" xfId="0" applyNumberFormat="1" applyFont="1" applyFill="1" applyBorder="1" applyAlignment="1">
      <alignment horizontal="left" vertical="center" wrapText="1"/>
    </xf>
    <xf numFmtId="14" fontId="19" fillId="4" borderId="2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</cellXfs>
  <cellStyles count="3">
    <cellStyle name="Normal 2" xfId="1" xr:uid="{00000000-0005-0000-0000-000001000000}"/>
    <cellStyle name="Normalno" xfId="0" builtinId="0"/>
    <cellStyle name="Normalno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44"/>
  <sheetViews>
    <sheetView tabSelected="1" zoomScaleNormal="100" workbookViewId="0">
      <selection activeCell="B27" sqref="B27"/>
    </sheetView>
  </sheetViews>
  <sheetFormatPr defaultRowHeight="12.75"/>
  <cols>
    <col min="6" max="6" width="34.5703125" customWidth="1"/>
    <col min="7" max="7" width="24.140625" customWidth="1"/>
    <col min="8" max="8" width="24.5703125" customWidth="1"/>
    <col min="9" max="9" width="24.42578125" customWidth="1"/>
    <col min="10" max="10" width="12.28515625" customWidth="1"/>
    <col min="11" max="11" width="12" customWidth="1"/>
  </cols>
  <sheetData>
    <row r="1" spans="2:11" ht="18.75" customHeight="1">
      <c r="B1" s="280" t="s">
        <v>233</v>
      </c>
      <c r="C1" s="280"/>
      <c r="D1" s="280"/>
      <c r="E1" s="280"/>
      <c r="F1" s="280"/>
      <c r="G1" s="280"/>
      <c r="H1" s="280"/>
      <c r="I1" s="280"/>
      <c r="J1" s="280"/>
      <c r="K1" s="280"/>
    </row>
    <row r="2" spans="2:11" ht="36.75" customHeight="1"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2:11" ht="18.75" customHeight="1">
      <c r="B3" s="280" t="s">
        <v>118</v>
      </c>
      <c r="C3" s="280"/>
      <c r="D3" s="280"/>
      <c r="E3" s="280"/>
      <c r="F3" s="280"/>
      <c r="G3" s="280"/>
      <c r="H3" s="280"/>
      <c r="I3" s="280"/>
      <c r="J3" s="280"/>
      <c r="K3" s="280"/>
    </row>
    <row r="4" spans="2:11" ht="18.75" customHeight="1">
      <c r="B4" s="344" t="s">
        <v>252</v>
      </c>
      <c r="C4" s="343"/>
      <c r="D4" s="343"/>
      <c r="E4" s="343"/>
      <c r="F4" s="97"/>
      <c r="G4" s="97"/>
      <c r="H4" s="97"/>
      <c r="I4" s="97"/>
      <c r="J4" s="97"/>
      <c r="K4" s="97"/>
    </row>
    <row r="5" spans="2:11" ht="18.75" customHeight="1"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2:11" ht="15.75" customHeight="1">
      <c r="B6" s="281" t="s">
        <v>159</v>
      </c>
      <c r="C6" s="281"/>
      <c r="D6" s="281"/>
      <c r="E6" s="281"/>
      <c r="F6" s="281"/>
      <c r="G6" s="281"/>
      <c r="H6" s="281"/>
      <c r="I6" s="281"/>
      <c r="J6" s="281"/>
      <c r="K6" s="281"/>
    </row>
    <row r="7" spans="2:11" ht="38.25">
      <c r="B7" s="269" t="s">
        <v>61</v>
      </c>
      <c r="C7" s="269"/>
      <c r="D7" s="269"/>
      <c r="E7" s="269"/>
      <c r="F7" s="269"/>
      <c r="G7" s="142" t="s">
        <v>170</v>
      </c>
      <c r="H7" s="220" t="s">
        <v>235</v>
      </c>
      <c r="I7" s="220" t="s">
        <v>234</v>
      </c>
      <c r="J7" s="15" t="s">
        <v>62</v>
      </c>
      <c r="K7" s="15" t="s">
        <v>62</v>
      </c>
    </row>
    <row r="8" spans="2:11">
      <c r="B8" s="270">
        <v>1</v>
      </c>
      <c r="C8" s="270"/>
      <c r="D8" s="270"/>
      <c r="E8" s="270"/>
      <c r="F8" s="271"/>
      <c r="G8" s="41">
        <v>2</v>
      </c>
      <c r="H8" s="42">
        <v>3</v>
      </c>
      <c r="I8" s="42">
        <v>4</v>
      </c>
      <c r="J8" s="53">
        <v>5</v>
      </c>
      <c r="K8" s="53">
        <v>6</v>
      </c>
    </row>
    <row r="9" spans="2:11" ht="22.5" customHeight="1">
      <c r="B9" s="283" t="s">
        <v>112</v>
      </c>
      <c r="C9" s="284"/>
      <c r="D9" s="47"/>
      <c r="E9" s="47"/>
      <c r="F9" s="47"/>
      <c r="G9" s="159">
        <f>G10+G11</f>
        <v>786360.44</v>
      </c>
      <c r="H9" s="51">
        <f>H10+H11</f>
        <v>956563.75</v>
      </c>
      <c r="I9" s="51">
        <f>I10+I11</f>
        <v>860693.95</v>
      </c>
      <c r="J9" s="52">
        <f>J10+J11</f>
        <v>125379.70661447823</v>
      </c>
      <c r="K9" s="52">
        <f>I9/H9*100</f>
        <v>89.977688366300725</v>
      </c>
    </row>
    <row r="10" spans="2:11">
      <c r="B10" s="272" t="s">
        <v>110</v>
      </c>
      <c r="C10" s="275"/>
      <c r="D10" s="275"/>
      <c r="E10" s="275"/>
      <c r="F10" s="279"/>
      <c r="G10" s="160">
        <v>786360.44</v>
      </c>
      <c r="H10" s="50">
        <f>780167+176549.75-153</f>
        <v>956563.75</v>
      </c>
      <c r="I10" s="50">
        <v>860693.95</v>
      </c>
      <c r="J10" s="52">
        <f t="shared" ref="J10:J14" si="0">J11+J12</f>
        <v>77156.742531986602</v>
      </c>
      <c r="K10" s="52">
        <f t="shared" ref="K10:K15" si="1">I10/H10*100</f>
        <v>89.977688366300725</v>
      </c>
    </row>
    <row r="11" spans="2:11">
      <c r="B11" s="285" t="s">
        <v>111</v>
      </c>
      <c r="C11" s="279"/>
      <c r="D11" s="279"/>
      <c r="E11" s="279"/>
      <c r="F11" s="279"/>
      <c r="G11" s="160">
        <v>0</v>
      </c>
      <c r="H11" s="144">
        <v>0</v>
      </c>
      <c r="I11" s="49">
        <v>0</v>
      </c>
      <c r="J11" s="52">
        <f t="shared" si="0"/>
        <v>48222.964082491628</v>
      </c>
      <c r="K11" s="52"/>
    </row>
    <row r="12" spans="2:11">
      <c r="B12" s="285" t="s">
        <v>115</v>
      </c>
      <c r="C12" s="286"/>
      <c r="D12" s="43"/>
      <c r="E12" s="43"/>
      <c r="F12" s="43"/>
      <c r="G12" s="161">
        <f>G13+G14</f>
        <v>786922.84000000008</v>
      </c>
      <c r="H12" s="48">
        <f>H13+H14</f>
        <v>956563.75</v>
      </c>
      <c r="I12" s="48">
        <f>I13+I14</f>
        <v>914935.14</v>
      </c>
      <c r="J12" s="52">
        <f t="shared" si="0"/>
        <v>28933.778449494974</v>
      </c>
      <c r="K12" s="52">
        <f t="shared" si="1"/>
        <v>95.648109182477384</v>
      </c>
    </row>
    <row r="13" spans="2:11">
      <c r="B13" s="287" t="s">
        <v>113</v>
      </c>
      <c r="C13" s="275"/>
      <c r="D13" s="275"/>
      <c r="E13" s="275"/>
      <c r="F13" s="275"/>
      <c r="G13" s="162">
        <v>748268.06</v>
      </c>
      <c r="H13" s="50">
        <f>946821.75</f>
        <v>946821.75</v>
      </c>
      <c r="I13" s="50">
        <v>910547.88</v>
      </c>
      <c r="J13" s="52">
        <f t="shared" si="0"/>
        <v>19289.18563299665</v>
      </c>
      <c r="K13" s="52">
        <f t="shared" si="1"/>
        <v>96.16888078458274</v>
      </c>
    </row>
    <row r="14" spans="2:11">
      <c r="B14" s="285" t="s">
        <v>114</v>
      </c>
      <c r="C14" s="279"/>
      <c r="D14" s="279"/>
      <c r="E14" s="279"/>
      <c r="F14" s="279"/>
      <c r="G14" s="160">
        <v>38654.78</v>
      </c>
      <c r="H14" s="144">
        <f>1032+6100+2610</f>
        <v>9742</v>
      </c>
      <c r="I14" s="50">
        <v>4387.26</v>
      </c>
      <c r="J14" s="52">
        <f t="shared" si="0"/>
        <v>9644.5928164983252</v>
      </c>
      <c r="K14" s="52">
        <f t="shared" si="1"/>
        <v>45.034489837815642</v>
      </c>
    </row>
    <row r="15" spans="2:11">
      <c r="B15" s="264" t="s">
        <v>140</v>
      </c>
      <c r="C15" s="265"/>
      <c r="D15" s="265"/>
      <c r="E15" s="265"/>
      <c r="F15" s="265"/>
      <c r="G15" s="163">
        <f>G9-G12</f>
        <v>-562.4000000001397</v>
      </c>
      <c r="H15" s="145">
        <f>H9-H12</f>
        <v>0</v>
      </c>
      <c r="I15" s="145">
        <f>I9-I12</f>
        <v>-54241.190000000061</v>
      </c>
      <c r="J15" s="103">
        <f>I15/G15*100</f>
        <v>9644.5928164983252</v>
      </c>
      <c r="K15" s="221"/>
    </row>
    <row r="16" spans="2:11" ht="18">
      <c r="B16" s="44"/>
      <c r="C16" s="45"/>
      <c r="D16" s="45"/>
      <c r="E16" s="45"/>
      <c r="F16" s="45"/>
      <c r="G16" s="46"/>
      <c r="H16" s="46"/>
      <c r="I16" s="46"/>
    </row>
    <row r="17" spans="2:13" ht="18" customHeight="1">
      <c r="B17" s="282" t="s">
        <v>139</v>
      </c>
      <c r="C17" s="282"/>
      <c r="D17" s="282"/>
      <c r="E17" s="282"/>
      <c r="F17" s="282"/>
      <c r="G17" s="282"/>
      <c r="H17" s="282"/>
      <c r="I17" s="282"/>
      <c r="J17" s="282"/>
      <c r="K17" s="282"/>
    </row>
    <row r="18" spans="2:13" ht="38.25">
      <c r="B18" s="266" t="s">
        <v>61</v>
      </c>
      <c r="C18" s="267"/>
      <c r="D18" s="267"/>
      <c r="E18" s="267"/>
      <c r="F18" s="268"/>
      <c r="G18" s="142" t="s">
        <v>170</v>
      </c>
      <c r="H18" s="220" t="s">
        <v>235</v>
      </c>
      <c r="I18" s="220" t="s">
        <v>234</v>
      </c>
      <c r="J18" s="15" t="s">
        <v>62</v>
      </c>
      <c r="K18" s="15" t="s">
        <v>62</v>
      </c>
    </row>
    <row r="19" spans="2:13">
      <c r="B19" s="272" t="s">
        <v>116</v>
      </c>
      <c r="C19" s="273"/>
      <c r="D19" s="273"/>
      <c r="E19" s="273"/>
      <c r="F19" s="274"/>
      <c r="G19" s="156">
        <v>0</v>
      </c>
      <c r="H19" s="60">
        <v>0</v>
      </c>
      <c r="I19" s="58">
        <v>0</v>
      </c>
      <c r="J19" s="57">
        <v>0</v>
      </c>
      <c r="K19" s="57">
        <v>0</v>
      </c>
    </row>
    <row r="20" spans="2:13">
      <c r="B20" s="272" t="s">
        <v>117</v>
      </c>
      <c r="C20" s="275"/>
      <c r="D20" s="275"/>
      <c r="E20" s="275"/>
      <c r="F20" s="275"/>
      <c r="G20" s="156">
        <v>0</v>
      </c>
      <c r="H20" s="60">
        <v>0</v>
      </c>
      <c r="I20" s="58">
        <v>0</v>
      </c>
      <c r="J20" s="57">
        <v>0</v>
      </c>
      <c r="K20" s="57">
        <v>0</v>
      </c>
    </row>
    <row r="21" spans="2:13">
      <c r="B21" s="276" t="s">
        <v>156</v>
      </c>
      <c r="C21" s="277"/>
      <c r="D21" s="277"/>
      <c r="E21" s="277"/>
      <c r="F21" s="278"/>
      <c r="G21" s="157">
        <f>G19-G20</f>
        <v>0</v>
      </c>
      <c r="H21" s="61">
        <f>H19-H20</f>
        <v>0</v>
      </c>
      <c r="I21" s="59">
        <f>I19-I20</f>
        <v>0</v>
      </c>
      <c r="J21" s="124">
        <v>0</v>
      </c>
      <c r="K21" s="124">
        <v>0</v>
      </c>
      <c r="M21" s="56"/>
    </row>
    <row r="22" spans="2:13">
      <c r="B22" s="276" t="s">
        <v>157</v>
      </c>
      <c r="C22" s="277"/>
      <c r="D22" s="277"/>
      <c r="E22" s="277"/>
      <c r="F22" s="278"/>
      <c r="G22" s="157">
        <v>409.83</v>
      </c>
      <c r="H22" s="61">
        <v>-153</v>
      </c>
      <c r="I22" s="59">
        <v>-152.57</v>
      </c>
      <c r="J22" s="124">
        <f>I22/G22*100</f>
        <v>-37.227630968938342</v>
      </c>
      <c r="K22" s="124">
        <f>I22/H22*100</f>
        <v>99.718954248366003</v>
      </c>
    </row>
    <row r="23" spans="2:13">
      <c r="B23" s="264" t="s">
        <v>158</v>
      </c>
      <c r="C23" s="265"/>
      <c r="D23" s="265"/>
      <c r="E23" s="265"/>
      <c r="F23" s="265"/>
      <c r="G23" s="158">
        <f>G22+G15</f>
        <v>-152.57000000013971</v>
      </c>
      <c r="H23" s="61">
        <f>H22</f>
        <v>-153</v>
      </c>
      <c r="I23" s="59">
        <v>-54393.760000000002</v>
      </c>
      <c r="J23" s="124">
        <f>I23/G23*100</f>
        <v>35651.674641115678</v>
      </c>
      <c r="K23" s="124">
        <f>I23/H23*100</f>
        <v>35551.477124183009</v>
      </c>
    </row>
    <row r="28" spans="2:13" ht="24" customHeight="1"/>
    <row r="29" spans="2:13" ht="39.75" customHeight="1">
      <c r="B29" s="123"/>
      <c r="G29" s="20"/>
      <c r="H29" s="20"/>
    </row>
    <row r="30" spans="2:13" ht="39" customHeight="1">
      <c r="G30" s="20"/>
      <c r="H30" s="13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44" spans="2:12">
      <c r="L44" s="56"/>
    </row>
  </sheetData>
  <mergeCells count="19">
    <mergeCell ref="B1:K2"/>
    <mergeCell ref="B3:K3"/>
    <mergeCell ref="B6:K6"/>
    <mergeCell ref="B17:K17"/>
    <mergeCell ref="B9:C9"/>
    <mergeCell ref="B12:C12"/>
    <mergeCell ref="B11:F11"/>
    <mergeCell ref="B13:F13"/>
    <mergeCell ref="B14:F14"/>
    <mergeCell ref="B23:F23"/>
    <mergeCell ref="B18:F18"/>
    <mergeCell ref="B15:F15"/>
    <mergeCell ref="B7:F7"/>
    <mergeCell ref="B8:F8"/>
    <mergeCell ref="B19:F19"/>
    <mergeCell ref="B20:F20"/>
    <mergeCell ref="B21:F21"/>
    <mergeCell ref="B10:F10"/>
    <mergeCell ref="B22:F2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ignoredErrors>
    <ignoredError sqref="H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U114"/>
  <sheetViews>
    <sheetView topLeftCell="A100" zoomScaleNormal="100" workbookViewId="0">
      <selection activeCell="L97" sqref="L97"/>
    </sheetView>
  </sheetViews>
  <sheetFormatPr defaultColWidth="9.140625" defaultRowHeight="15"/>
  <cols>
    <col min="1" max="2" width="9.140625" style="1"/>
    <col min="3" max="5" width="11.5703125" style="1" customWidth="1"/>
    <col min="6" max="6" width="46.28515625" style="1" customWidth="1"/>
    <col min="7" max="7" width="13.7109375" style="1" customWidth="1"/>
    <col min="8" max="8" width="17.7109375" style="1" customWidth="1"/>
    <col min="9" max="9" width="13.7109375" style="1" customWidth="1"/>
    <col min="10" max="10" width="15.85546875" style="6" customWidth="1"/>
    <col min="11" max="11" width="14.140625" style="6" customWidth="1"/>
    <col min="12" max="12" width="11" style="6" bestFit="1" customWidth="1"/>
    <col min="13" max="13" width="17.42578125" style="6" customWidth="1"/>
    <col min="14" max="18" width="15.140625" style="1" customWidth="1"/>
    <col min="19" max="19" width="16.7109375" style="1" hidden="1" customWidth="1"/>
    <col min="20" max="20" width="16.42578125" style="1" hidden="1" customWidth="1"/>
    <col min="21" max="21" width="12.5703125" style="1" hidden="1" customWidth="1"/>
    <col min="22" max="22" width="15.140625" style="1" customWidth="1"/>
    <col min="23" max="16384" width="9.140625" style="1"/>
  </cols>
  <sheetData>
    <row r="1" spans="2:13" ht="20.45" customHeight="1">
      <c r="B1" s="313" t="s">
        <v>118</v>
      </c>
      <c r="C1" s="313"/>
      <c r="D1" s="313"/>
      <c r="E1" s="313"/>
      <c r="F1" s="313"/>
      <c r="G1" s="313"/>
      <c r="H1" s="313"/>
      <c r="I1" s="313"/>
      <c r="J1" s="313"/>
      <c r="K1" s="313"/>
      <c r="L1" s="96"/>
      <c r="M1" s="54"/>
    </row>
    <row r="3" spans="2:13" ht="20.25" customHeight="1">
      <c r="B3" s="313" t="s">
        <v>120</v>
      </c>
      <c r="C3" s="313"/>
      <c r="D3" s="313"/>
      <c r="E3" s="313"/>
      <c r="F3" s="313"/>
      <c r="G3" s="313"/>
      <c r="H3" s="313"/>
      <c r="I3" s="313"/>
      <c r="J3" s="313"/>
      <c r="K3" s="313"/>
      <c r="L3" s="96"/>
      <c r="M3" s="55"/>
    </row>
    <row r="4" spans="2:13" ht="20.25">
      <c r="C4" s="35"/>
      <c r="D4" s="35"/>
      <c r="E4" s="35"/>
      <c r="F4" s="35"/>
      <c r="G4" s="35"/>
      <c r="H4" s="35"/>
      <c r="I4" s="35"/>
      <c r="J4" s="35"/>
      <c r="K4" s="35"/>
      <c r="L4" s="35"/>
      <c r="M4" s="55"/>
    </row>
    <row r="5" spans="2:13" ht="20.25" customHeight="1">
      <c r="B5" s="313" t="s">
        <v>121</v>
      </c>
      <c r="C5" s="313"/>
      <c r="D5" s="313"/>
      <c r="E5" s="313"/>
      <c r="F5" s="313"/>
      <c r="G5" s="313"/>
      <c r="H5" s="313"/>
      <c r="I5" s="313"/>
      <c r="J5" s="313"/>
      <c r="K5" s="313"/>
      <c r="L5" s="96"/>
      <c r="M5" s="55"/>
    </row>
    <row r="6" spans="2:13" s="3" customFormat="1">
      <c r="C6" s="2"/>
      <c r="D6" s="2"/>
      <c r="E6" s="2"/>
      <c r="J6" s="4"/>
      <c r="K6" s="4"/>
      <c r="L6" s="4"/>
      <c r="M6" s="4"/>
    </row>
    <row r="7" spans="2:13" ht="15.75" customHeight="1">
      <c r="B7" s="303" t="s">
        <v>61</v>
      </c>
      <c r="C7" s="304"/>
      <c r="D7" s="304"/>
      <c r="E7" s="304"/>
      <c r="F7" s="305"/>
      <c r="G7" s="301" t="s">
        <v>171</v>
      </c>
      <c r="H7" s="301" t="s">
        <v>237</v>
      </c>
      <c r="I7" s="299" t="s">
        <v>236</v>
      </c>
      <c r="J7" s="314" t="s">
        <v>62</v>
      </c>
      <c r="K7" s="314" t="s">
        <v>62</v>
      </c>
      <c r="L7" s="1"/>
      <c r="M7" s="1"/>
    </row>
    <row r="8" spans="2:13" ht="31.5" customHeight="1">
      <c r="B8" s="306"/>
      <c r="C8" s="307"/>
      <c r="D8" s="307"/>
      <c r="E8" s="307"/>
      <c r="F8" s="308"/>
      <c r="G8" s="302"/>
      <c r="H8" s="302"/>
      <c r="I8" s="300"/>
      <c r="J8" s="314"/>
      <c r="K8" s="314"/>
      <c r="L8" s="1"/>
      <c r="M8" s="1"/>
    </row>
    <row r="9" spans="2:13" s="9" customFormat="1" ht="12" customHeight="1">
      <c r="B9" s="310">
        <v>1</v>
      </c>
      <c r="C9" s="311"/>
      <c r="D9" s="311"/>
      <c r="E9" s="311"/>
      <c r="F9" s="312"/>
      <c r="G9" s="104">
        <v>2</v>
      </c>
      <c r="H9" s="104">
        <v>3</v>
      </c>
      <c r="I9" s="105">
        <v>4</v>
      </c>
      <c r="J9" s="106">
        <v>5</v>
      </c>
      <c r="K9" s="106">
        <v>6</v>
      </c>
    </row>
    <row r="10" spans="2:13" s="9" customFormat="1" ht="24.95" customHeight="1">
      <c r="B10" s="62"/>
      <c r="C10" s="63"/>
      <c r="D10" s="64"/>
      <c r="E10" s="64"/>
      <c r="F10" s="65" t="s">
        <v>136</v>
      </c>
      <c r="G10" s="66">
        <f>G11</f>
        <v>786360.44000000006</v>
      </c>
      <c r="H10" s="66">
        <f>H11</f>
        <v>956563.75</v>
      </c>
      <c r="I10" s="99">
        <f>I11</f>
        <v>860693.95000000007</v>
      </c>
      <c r="J10" s="57">
        <f>I10/G10*100</f>
        <v>109.46557153866998</v>
      </c>
      <c r="K10" s="57">
        <f>I10/H10*100</f>
        <v>89.98814245260705</v>
      </c>
    </row>
    <row r="11" spans="2:13" s="9" customFormat="1" ht="24.95" customHeight="1">
      <c r="B11" s="67">
        <v>6</v>
      </c>
      <c r="C11" s="68"/>
      <c r="D11" s="68"/>
      <c r="E11" s="68"/>
      <c r="F11" s="65" t="s">
        <v>119</v>
      </c>
      <c r="G11" s="66">
        <f>G12+G18+G21+G24+G29+G33</f>
        <v>786360.44000000006</v>
      </c>
      <c r="H11" s="66">
        <f>H12+H18+H21+H24+H29+H33</f>
        <v>956563.75</v>
      </c>
      <c r="I11" s="99">
        <f>I12+I18+I21+I24+I29+I33</f>
        <v>860693.95000000007</v>
      </c>
      <c r="J11" s="57">
        <f t="shared" ref="J11:J35" si="0">I11/G11*100</f>
        <v>109.45285472397366</v>
      </c>
      <c r="K11" s="57">
        <f t="shared" ref="K11:K34" si="1">I11/H11*100</f>
        <v>89.97768836630074</v>
      </c>
    </row>
    <row r="12" spans="2:13" s="9" customFormat="1" ht="24.95" customHeight="1">
      <c r="B12" s="62"/>
      <c r="C12" s="69">
        <v>63</v>
      </c>
      <c r="D12" s="69"/>
      <c r="E12" s="69"/>
      <c r="F12" s="70" t="s">
        <v>16</v>
      </c>
      <c r="G12" s="71">
        <f>G15+G13</f>
        <v>593708.97</v>
      </c>
      <c r="H12" s="72">
        <f>H15+H13</f>
        <v>753953</v>
      </c>
      <c r="I12" s="71">
        <f>I15+I13</f>
        <v>676535.08000000007</v>
      </c>
      <c r="J12" s="57">
        <f t="shared" si="0"/>
        <v>113.95062466379784</v>
      </c>
      <c r="K12" s="57">
        <f t="shared" si="1"/>
        <v>89.731731288289865</v>
      </c>
    </row>
    <row r="13" spans="2:13" s="9" customFormat="1" ht="24.95" customHeight="1">
      <c r="B13" s="62"/>
      <c r="C13" s="69"/>
      <c r="D13" s="69">
        <v>634</v>
      </c>
      <c r="E13" s="69"/>
      <c r="F13" s="70" t="s">
        <v>189</v>
      </c>
      <c r="G13" s="71">
        <f>G14</f>
        <v>0</v>
      </c>
      <c r="H13" s="72">
        <v>0</v>
      </c>
      <c r="I13" s="71">
        <f>I14</f>
        <v>0</v>
      </c>
      <c r="J13" s="57"/>
      <c r="K13" s="57"/>
    </row>
    <row r="14" spans="2:13" s="9" customFormat="1" ht="24.95" customHeight="1">
      <c r="B14" s="62"/>
      <c r="C14" s="69"/>
      <c r="D14" s="69"/>
      <c r="E14" s="69">
        <v>6341</v>
      </c>
      <c r="F14" s="70" t="s">
        <v>190</v>
      </c>
      <c r="G14" s="71">
        <v>0</v>
      </c>
      <c r="H14" s="72"/>
      <c r="I14" s="71">
        <v>0</v>
      </c>
      <c r="J14" s="57"/>
      <c r="K14" s="57"/>
    </row>
    <row r="15" spans="2:13" s="9" customFormat="1" ht="24.95" customHeight="1">
      <c r="B15" s="62"/>
      <c r="C15" s="62"/>
      <c r="D15" s="69">
        <v>636</v>
      </c>
      <c r="E15" s="69"/>
      <c r="F15" s="70" t="s">
        <v>21</v>
      </c>
      <c r="G15" s="71">
        <f>G16+G17</f>
        <v>593708.97</v>
      </c>
      <c r="H15" s="73">
        <f>754106-153</f>
        <v>753953</v>
      </c>
      <c r="I15" s="71">
        <f>I16+I17</f>
        <v>676535.08000000007</v>
      </c>
      <c r="J15" s="57">
        <f t="shared" si="0"/>
        <v>113.95062466379784</v>
      </c>
      <c r="K15" s="57">
        <f t="shared" si="1"/>
        <v>89.731731288289865</v>
      </c>
    </row>
    <row r="16" spans="2:13" s="9" customFormat="1" ht="24.95" customHeight="1">
      <c r="B16" s="62"/>
      <c r="C16" s="62"/>
      <c r="D16" s="68"/>
      <c r="E16" s="165">
        <v>6361</v>
      </c>
      <c r="F16" s="74" t="s">
        <v>122</v>
      </c>
      <c r="G16" s="205">
        <v>587958.99</v>
      </c>
      <c r="H16" s="75"/>
      <c r="I16" s="76">
        <v>670581.79</v>
      </c>
      <c r="J16" s="57">
        <f t="shared" si="0"/>
        <v>114.0524766871921</v>
      </c>
      <c r="K16" s="57"/>
    </row>
    <row r="17" spans="2:14" s="9" customFormat="1" ht="24.95" customHeight="1">
      <c r="B17" s="62"/>
      <c r="C17" s="62"/>
      <c r="D17" s="68"/>
      <c r="E17" s="165">
        <v>6362</v>
      </c>
      <c r="F17" s="74" t="s">
        <v>123</v>
      </c>
      <c r="G17" s="205">
        <v>5749.98</v>
      </c>
      <c r="H17" s="75"/>
      <c r="I17" s="76">
        <v>5953.29</v>
      </c>
      <c r="J17" s="57">
        <f t="shared" si="0"/>
        <v>103.53583838552483</v>
      </c>
      <c r="K17" s="57"/>
    </row>
    <row r="18" spans="2:14" s="9" customFormat="1" ht="24.95" customHeight="1">
      <c r="B18" s="62"/>
      <c r="C18" s="69">
        <v>64</v>
      </c>
      <c r="D18" s="69"/>
      <c r="E18" s="69"/>
      <c r="F18" s="70" t="s">
        <v>55</v>
      </c>
      <c r="G18" s="71">
        <f>G19</f>
        <v>0.04</v>
      </c>
      <c r="H18" s="72">
        <f>SUM(H19:H19)</f>
        <v>5</v>
      </c>
      <c r="I18" s="71">
        <f>I19</f>
        <v>0.05</v>
      </c>
      <c r="J18" s="57">
        <f t="shared" si="0"/>
        <v>125</v>
      </c>
      <c r="K18" s="57">
        <f t="shared" si="1"/>
        <v>1</v>
      </c>
    </row>
    <row r="19" spans="2:14" s="9" customFormat="1" ht="24.95" customHeight="1">
      <c r="B19" s="62"/>
      <c r="C19" s="62"/>
      <c r="D19" s="69">
        <v>641</v>
      </c>
      <c r="E19" s="69"/>
      <c r="F19" s="70" t="s">
        <v>56</v>
      </c>
      <c r="G19" s="77">
        <f>G20</f>
        <v>0.04</v>
      </c>
      <c r="H19" s="73">
        <v>5</v>
      </c>
      <c r="I19" s="71">
        <f>I20</f>
        <v>0.05</v>
      </c>
      <c r="J19" s="57">
        <f t="shared" si="0"/>
        <v>125</v>
      </c>
      <c r="K19" s="57">
        <f t="shared" si="1"/>
        <v>1</v>
      </c>
    </row>
    <row r="20" spans="2:14" s="9" customFormat="1" ht="24.95" customHeight="1">
      <c r="B20" s="62"/>
      <c r="C20" s="62"/>
      <c r="D20" s="68"/>
      <c r="E20" s="165">
        <v>6413</v>
      </c>
      <c r="F20" s="74" t="s">
        <v>128</v>
      </c>
      <c r="G20" s="75">
        <v>0.04</v>
      </c>
      <c r="H20" s="75"/>
      <c r="I20" s="76">
        <v>0.05</v>
      </c>
      <c r="J20" s="57">
        <f t="shared" si="0"/>
        <v>125</v>
      </c>
      <c r="K20" s="57"/>
    </row>
    <row r="21" spans="2:14" s="9" customFormat="1" ht="24.95" customHeight="1">
      <c r="B21" s="62"/>
      <c r="C21" s="74">
        <v>65</v>
      </c>
      <c r="D21" s="68"/>
      <c r="E21" s="68"/>
      <c r="F21" s="74" t="s">
        <v>124</v>
      </c>
      <c r="G21" s="77">
        <f>G22</f>
        <v>2374.1</v>
      </c>
      <c r="H21" s="73">
        <f>H22</f>
        <v>19000</v>
      </c>
      <c r="I21" s="76">
        <f>I22</f>
        <v>17886.97</v>
      </c>
      <c r="J21" s="57">
        <f t="shared" si="0"/>
        <v>753.4210858851776</v>
      </c>
      <c r="K21" s="57">
        <f t="shared" si="1"/>
        <v>94.141947368421057</v>
      </c>
    </row>
    <row r="22" spans="2:14" s="9" customFormat="1" ht="24.95" customHeight="1">
      <c r="B22" s="62"/>
      <c r="C22" s="62"/>
      <c r="D22" s="69">
        <v>652</v>
      </c>
      <c r="E22" s="69"/>
      <c r="F22" s="70" t="s">
        <v>20</v>
      </c>
      <c r="G22" s="71">
        <f>G23</f>
        <v>2374.1</v>
      </c>
      <c r="H22" s="72">
        <v>19000</v>
      </c>
      <c r="I22" s="71">
        <f>SUM(I23:I23)</f>
        <v>17886.97</v>
      </c>
      <c r="J22" s="57">
        <f t="shared" si="0"/>
        <v>753.4210858851776</v>
      </c>
      <c r="K22" s="57">
        <f t="shared" si="1"/>
        <v>94.141947368421057</v>
      </c>
    </row>
    <row r="23" spans="2:14" s="9" customFormat="1" ht="24.95" customHeight="1">
      <c r="B23" s="62"/>
      <c r="C23" s="62"/>
      <c r="D23" s="69"/>
      <c r="E23" s="78">
        <v>6526</v>
      </c>
      <c r="F23" s="70" t="s">
        <v>129</v>
      </c>
      <c r="G23" s="71">
        <v>2374.1</v>
      </c>
      <c r="H23" s="73"/>
      <c r="I23" s="71">
        <v>17886.97</v>
      </c>
      <c r="J23" s="57">
        <f t="shared" si="0"/>
        <v>753.4210858851776</v>
      </c>
      <c r="K23" s="57"/>
    </row>
    <row r="24" spans="2:14" s="9" customFormat="1" ht="24.95" customHeight="1">
      <c r="B24" s="62"/>
      <c r="C24" s="69">
        <v>66</v>
      </c>
      <c r="D24" s="69"/>
      <c r="E24" s="69"/>
      <c r="F24" s="70" t="s">
        <v>125</v>
      </c>
      <c r="G24" s="71">
        <f>G27+G25</f>
        <v>18511.11</v>
      </c>
      <c r="H24" s="72">
        <f>H25+H27</f>
        <v>7051</v>
      </c>
      <c r="I24" s="71">
        <f>I25+I27</f>
        <v>5207.9799999999996</v>
      </c>
      <c r="J24" s="57">
        <f t="shared" si="0"/>
        <v>28.134347427031653</v>
      </c>
      <c r="K24" s="57">
        <f t="shared" si="1"/>
        <v>73.861579917742162</v>
      </c>
    </row>
    <row r="25" spans="2:14" s="9" customFormat="1" ht="24.95" customHeight="1">
      <c r="B25" s="62"/>
      <c r="C25" s="69"/>
      <c r="D25" s="69">
        <v>661</v>
      </c>
      <c r="E25" s="69"/>
      <c r="F25" s="70" t="s">
        <v>125</v>
      </c>
      <c r="G25" s="71">
        <f>G26</f>
        <v>18411.11</v>
      </c>
      <c r="H25" s="72">
        <v>7051</v>
      </c>
      <c r="I25" s="71">
        <f>I26</f>
        <v>5207.9799999999996</v>
      </c>
      <c r="J25" s="57">
        <f t="shared" si="0"/>
        <v>28.287159220709668</v>
      </c>
      <c r="K25" s="57">
        <f t="shared" si="1"/>
        <v>73.861579917742162</v>
      </c>
    </row>
    <row r="26" spans="2:14" s="9" customFormat="1" ht="24.95" customHeight="1">
      <c r="B26" s="62"/>
      <c r="C26" s="69"/>
      <c r="D26" s="69"/>
      <c r="E26" s="69">
        <v>6615</v>
      </c>
      <c r="F26" s="70" t="s">
        <v>186</v>
      </c>
      <c r="G26" s="71">
        <v>18411.11</v>
      </c>
      <c r="H26" s="72"/>
      <c r="I26" s="71">
        <v>5207.9799999999996</v>
      </c>
      <c r="J26" s="57">
        <f t="shared" si="0"/>
        <v>28.287159220709668</v>
      </c>
      <c r="K26" s="57"/>
    </row>
    <row r="27" spans="2:14" s="9" customFormat="1" ht="24.95" customHeight="1">
      <c r="B27" s="62"/>
      <c r="C27" s="62"/>
      <c r="D27" s="69">
        <v>663</v>
      </c>
      <c r="E27" s="69"/>
      <c r="F27" s="70" t="s">
        <v>126</v>
      </c>
      <c r="G27" s="71">
        <f>G28</f>
        <v>100</v>
      </c>
      <c r="H27" s="73">
        <v>0</v>
      </c>
      <c r="I27" s="71">
        <f>I28</f>
        <v>0</v>
      </c>
      <c r="J27" s="57">
        <f t="shared" si="0"/>
        <v>0</v>
      </c>
      <c r="K27" s="57"/>
    </row>
    <row r="28" spans="2:14" s="9" customFormat="1" ht="24.95" customHeight="1">
      <c r="B28" s="62"/>
      <c r="C28" s="62"/>
      <c r="D28" s="69"/>
      <c r="E28" s="78">
        <v>6631</v>
      </c>
      <c r="F28" s="70" t="s">
        <v>59</v>
      </c>
      <c r="G28" s="71">
        <v>100</v>
      </c>
      <c r="H28" s="73"/>
      <c r="I28" s="71">
        <v>0</v>
      </c>
      <c r="J28" s="57">
        <f t="shared" si="0"/>
        <v>0</v>
      </c>
      <c r="K28" s="57"/>
    </row>
    <row r="29" spans="2:14" ht="24.95" customHeight="1">
      <c r="B29" s="62"/>
      <c r="C29" s="69">
        <v>67</v>
      </c>
      <c r="D29" s="69"/>
      <c r="E29" s="69"/>
      <c r="F29" s="70" t="s">
        <v>17</v>
      </c>
      <c r="G29" s="71">
        <f>G30</f>
        <v>171764.67</v>
      </c>
      <c r="H29" s="71">
        <f>H30</f>
        <v>176549.75</v>
      </c>
      <c r="I29" s="71">
        <f>I30</f>
        <v>161062.05000000002</v>
      </c>
      <c r="J29" s="57">
        <f t="shared" si="0"/>
        <v>93.769021301062665</v>
      </c>
      <c r="K29" s="57">
        <f t="shared" si="1"/>
        <v>91.227571831735816</v>
      </c>
      <c r="L29" s="9"/>
      <c r="M29" s="36"/>
      <c r="N29" s="37"/>
    </row>
    <row r="30" spans="2:14" ht="24.95" customHeight="1">
      <c r="B30" s="62"/>
      <c r="C30" s="62"/>
      <c r="D30" s="69">
        <v>671</v>
      </c>
      <c r="E30" s="69"/>
      <c r="F30" s="70" t="s">
        <v>127</v>
      </c>
      <c r="G30" s="71">
        <f>G31+G32</f>
        <v>171764.67</v>
      </c>
      <c r="H30" s="71">
        <f>H31+H32</f>
        <v>176549.75</v>
      </c>
      <c r="I30" s="71">
        <f>I31+I32</f>
        <v>161062.05000000002</v>
      </c>
      <c r="J30" s="57">
        <f t="shared" si="0"/>
        <v>93.769021301062665</v>
      </c>
      <c r="K30" s="57">
        <f t="shared" si="1"/>
        <v>91.227571831735816</v>
      </c>
      <c r="L30" s="9"/>
      <c r="M30" s="36"/>
      <c r="N30" s="37"/>
    </row>
    <row r="31" spans="2:14" ht="24.95" customHeight="1">
      <c r="B31" s="62"/>
      <c r="C31" s="62"/>
      <c r="D31" s="69"/>
      <c r="E31" s="78">
        <v>6711</v>
      </c>
      <c r="F31" s="70" t="s">
        <v>18</v>
      </c>
      <c r="G31" s="71">
        <v>139264.67000000001</v>
      </c>
      <c r="H31" s="71">
        <f>176549.75-1032</f>
        <v>175517.75</v>
      </c>
      <c r="I31" s="71">
        <v>160030.88</v>
      </c>
      <c r="J31" s="57">
        <f t="shared" si="0"/>
        <v>114.91132675645588</v>
      </c>
      <c r="K31" s="57">
        <f t="shared" si="1"/>
        <v>91.176465058377289</v>
      </c>
      <c r="L31" s="9"/>
      <c r="M31" s="36"/>
      <c r="N31" s="37"/>
    </row>
    <row r="32" spans="2:14" ht="24.95" customHeight="1">
      <c r="B32" s="62"/>
      <c r="C32" s="62"/>
      <c r="D32" s="69"/>
      <c r="E32" s="78">
        <v>6712</v>
      </c>
      <c r="F32" s="70" t="s">
        <v>19</v>
      </c>
      <c r="G32" s="71">
        <v>32500</v>
      </c>
      <c r="H32" s="72">
        <v>1032</v>
      </c>
      <c r="I32" s="71">
        <v>1031.17</v>
      </c>
      <c r="J32" s="57">
        <f t="shared" si="0"/>
        <v>3.1728307692307696</v>
      </c>
      <c r="K32" s="57">
        <f t="shared" si="1"/>
        <v>99.919573643410871</v>
      </c>
      <c r="L32" s="9"/>
      <c r="M32" s="36"/>
      <c r="N32" s="37"/>
    </row>
    <row r="33" spans="2:14" ht="24.95" customHeight="1">
      <c r="B33" s="62"/>
      <c r="C33" s="164">
        <v>68</v>
      </c>
      <c r="D33" s="69"/>
      <c r="E33" s="69"/>
      <c r="F33" s="70" t="s">
        <v>187</v>
      </c>
      <c r="G33" s="71">
        <f>G34</f>
        <v>1.55</v>
      </c>
      <c r="H33" s="72">
        <f>H34</f>
        <v>5</v>
      </c>
      <c r="I33" s="71">
        <f>I34</f>
        <v>1.82</v>
      </c>
      <c r="J33" s="57">
        <f t="shared" si="0"/>
        <v>117.41935483870969</v>
      </c>
      <c r="K33" s="57">
        <f t="shared" si="1"/>
        <v>36.4</v>
      </c>
      <c r="L33" s="9"/>
      <c r="M33" s="36"/>
      <c r="N33" s="37"/>
    </row>
    <row r="34" spans="2:14" ht="24.95" customHeight="1">
      <c r="B34" s="62"/>
      <c r="C34" s="62"/>
      <c r="D34" s="69">
        <v>683</v>
      </c>
      <c r="E34" s="69"/>
      <c r="F34" s="70" t="s">
        <v>188</v>
      </c>
      <c r="G34" s="71">
        <f>G35</f>
        <v>1.55</v>
      </c>
      <c r="H34" s="72">
        <v>5</v>
      </c>
      <c r="I34" s="71">
        <f>I35</f>
        <v>1.82</v>
      </c>
      <c r="J34" s="57">
        <f t="shared" si="0"/>
        <v>117.41935483870969</v>
      </c>
      <c r="K34" s="57">
        <f t="shared" si="1"/>
        <v>36.4</v>
      </c>
      <c r="L34" s="9"/>
      <c r="M34" s="36"/>
      <c r="N34" s="37"/>
    </row>
    <row r="35" spans="2:14" ht="24.95" customHeight="1">
      <c r="B35" s="62"/>
      <c r="C35" s="62"/>
      <c r="D35" s="69"/>
      <c r="E35" s="69">
        <v>6831</v>
      </c>
      <c r="F35" s="70" t="s">
        <v>129</v>
      </c>
      <c r="G35" s="71">
        <v>1.55</v>
      </c>
      <c r="H35" s="72"/>
      <c r="I35" s="71">
        <v>1.82</v>
      </c>
      <c r="J35" s="57">
        <f t="shared" si="0"/>
        <v>117.41935483870969</v>
      </c>
      <c r="K35" s="57"/>
      <c r="L35" s="9"/>
      <c r="M35" s="36"/>
      <c r="N35" s="37"/>
    </row>
    <row r="36" spans="2:14" ht="24.95" customHeight="1">
      <c r="B36" s="125"/>
      <c r="C36" s="125"/>
      <c r="D36" s="126"/>
      <c r="E36" s="126"/>
      <c r="F36" s="127"/>
      <c r="G36" s="128"/>
      <c r="H36" s="129"/>
      <c r="I36" s="128"/>
      <c r="J36" s="130"/>
      <c r="K36" s="130"/>
      <c r="L36" s="9"/>
      <c r="M36" s="36"/>
      <c r="N36" s="37"/>
    </row>
    <row r="37" spans="2:14">
      <c r="B37" s="131"/>
      <c r="L37" s="9"/>
      <c r="M37" s="36"/>
      <c r="N37" s="37"/>
    </row>
    <row r="38" spans="2:14" ht="24.75" customHeight="1">
      <c r="B38" s="309" t="s">
        <v>61</v>
      </c>
      <c r="C38" s="291"/>
      <c r="D38" s="291"/>
      <c r="E38" s="291"/>
      <c r="F38" s="292"/>
      <c r="G38" s="296" t="s">
        <v>171</v>
      </c>
      <c r="H38" s="301" t="s">
        <v>237</v>
      </c>
      <c r="I38" s="296" t="s">
        <v>236</v>
      </c>
      <c r="J38" s="288" t="s">
        <v>62</v>
      </c>
      <c r="K38" s="288" t="s">
        <v>62</v>
      </c>
      <c r="L38" s="9"/>
      <c r="M38" s="36"/>
      <c r="N38" s="37"/>
    </row>
    <row r="39" spans="2:14" ht="29.25" customHeight="1">
      <c r="B39" s="293"/>
      <c r="C39" s="294"/>
      <c r="D39" s="294"/>
      <c r="E39" s="294"/>
      <c r="F39" s="295"/>
      <c r="G39" s="297"/>
      <c r="H39" s="302"/>
      <c r="I39" s="297"/>
      <c r="J39" s="288"/>
      <c r="K39" s="288"/>
      <c r="L39" s="9"/>
      <c r="M39" s="36"/>
      <c r="N39" s="37"/>
    </row>
    <row r="40" spans="2:14" ht="24.95" customHeight="1">
      <c r="B40" s="107"/>
      <c r="C40" s="298">
        <v>1</v>
      </c>
      <c r="D40" s="289"/>
      <c r="E40" s="289"/>
      <c r="F40" s="289"/>
      <c r="G40" s="108">
        <v>2</v>
      </c>
      <c r="H40" s="108">
        <v>3</v>
      </c>
      <c r="I40" s="109">
        <v>4</v>
      </c>
      <c r="J40" s="106">
        <v>5</v>
      </c>
      <c r="K40" s="106">
        <v>6</v>
      </c>
      <c r="L40" s="9"/>
      <c r="M40" s="36"/>
      <c r="N40" s="37"/>
    </row>
    <row r="41" spans="2:14" s="8" customFormat="1" ht="24.95" customHeight="1">
      <c r="B41" s="62"/>
      <c r="C41" s="79"/>
      <c r="D41" s="80"/>
      <c r="E41" s="80"/>
      <c r="F41" s="81" t="s">
        <v>138</v>
      </c>
      <c r="G41" s="82">
        <f>G42+G92</f>
        <v>786922.84</v>
      </c>
      <c r="H41" s="82">
        <f>H42+H92</f>
        <v>956563.75</v>
      </c>
      <c r="I41" s="100">
        <f>I42+I92</f>
        <v>914935.14</v>
      </c>
      <c r="J41" s="57">
        <f>I41/G41*100</f>
        <v>116.26745260056246</v>
      </c>
      <c r="K41" s="57">
        <f>I41/H41*100</f>
        <v>95.648109182477384</v>
      </c>
      <c r="L41" s="9"/>
      <c r="M41" s="36"/>
      <c r="N41" s="37"/>
    </row>
    <row r="42" spans="2:14" ht="24.95" customHeight="1">
      <c r="B42" s="67">
        <v>3</v>
      </c>
      <c r="C42" s="79"/>
      <c r="D42" s="80"/>
      <c r="E42" s="80"/>
      <c r="F42" s="81" t="s">
        <v>137</v>
      </c>
      <c r="G42" s="82">
        <f>G43+G52+G81+G85+G89</f>
        <v>748268.05999999994</v>
      </c>
      <c r="H42" s="82">
        <f>H43+H52+H81+H85+H89</f>
        <v>946821.75</v>
      </c>
      <c r="I42" s="100">
        <f>I43+I52+I81+I85+I89</f>
        <v>910547.88</v>
      </c>
      <c r="J42" s="57">
        <f t="shared" ref="J42:J101" si="2">I42/G42*100</f>
        <v>121.68739101332216</v>
      </c>
      <c r="K42" s="57">
        <f t="shared" ref="K42:K97" si="3">I42/H42*100</f>
        <v>96.16888078458274</v>
      </c>
      <c r="L42" s="9"/>
      <c r="M42" s="5"/>
    </row>
    <row r="43" spans="2:14" ht="24.95" customHeight="1">
      <c r="B43" s="83"/>
      <c r="C43" s="78">
        <v>31</v>
      </c>
      <c r="D43" s="69"/>
      <c r="E43" s="69"/>
      <c r="F43" s="84" t="s">
        <v>0</v>
      </c>
      <c r="G43" s="71">
        <f>SUM(G44,G48,G50)</f>
        <v>549337.67999999993</v>
      </c>
      <c r="H43" s="72">
        <f>SUM(H44,H48,H50)</f>
        <v>723854.49</v>
      </c>
      <c r="I43" s="71">
        <f>SUM(I44,I48,I50)</f>
        <v>692334.17999999993</v>
      </c>
      <c r="J43" s="57">
        <f t="shared" si="2"/>
        <v>126.03071029098167</v>
      </c>
      <c r="K43" s="57">
        <f t="shared" si="3"/>
        <v>95.645490849963494</v>
      </c>
      <c r="L43" s="9"/>
      <c r="M43" s="5"/>
    </row>
    <row r="44" spans="2:14" ht="24.95" customHeight="1">
      <c r="B44" s="83"/>
      <c r="C44" s="85"/>
      <c r="D44" s="69">
        <v>311</v>
      </c>
      <c r="E44" s="69"/>
      <c r="F44" s="86" t="s">
        <v>1</v>
      </c>
      <c r="G44" s="71">
        <f>G45+G47+G46</f>
        <v>453494.1</v>
      </c>
      <c r="H44" s="72">
        <v>597318.49</v>
      </c>
      <c r="I44" s="71">
        <f>I45+I46+I47</f>
        <v>576635.5</v>
      </c>
      <c r="J44" s="57">
        <f t="shared" si="2"/>
        <v>127.15391446107019</v>
      </c>
      <c r="K44" s="57">
        <f t="shared" si="3"/>
        <v>96.537359826246131</v>
      </c>
      <c r="L44" s="9"/>
      <c r="M44" s="5"/>
    </row>
    <row r="45" spans="2:14" ht="24.95" customHeight="1">
      <c r="B45" s="83"/>
      <c r="C45" s="85"/>
      <c r="D45" s="69"/>
      <c r="E45" s="69">
        <v>3111</v>
      </c>
      <c r="F45" s="70" t="s">
        <v>22</v>
      </c>
      <c r="G45" s="71">
        <v>447603.44</v>
      </c>
      <c r="H45" s="72"/>
      <c r="I45" s="71">
        <v>562799.49</v>
      </c>
      <c r="J45" s="57">
        <f t="shared" si="2"/>
        <v>125.73618513745113</v>
      </c>
      <c r="K45" s="57"/>
      <c r="L45" s="9"/>
    </row>
    <row r="46" spans="2:14" ht="24.95" customHeight="1">
      <c r="B46" s="83"/>
      <c r="C46" s="85"/>
      <c r="D46" s="69"/>
      <c r="E46" s="69">
        <v>3113</v>
      </c>
      <c r="F46" s="70" t="s">
        <v>240</v>
      </c>
      <c r="G46" s="71">
        <v>0</v>
      </c>
      <c r="H46" s="72"/>
      <c r="I46" s="71">
        <v>7093.46</v>
      </c>
      <c r="J46" s="57"/>
      <c r="K46" s="57"/>
      <c r="L46" s="9"/>
    </row>
    <row r="47" spans="2:14" s="10" customFormat="1" ht="24.95" customHeight="1">
      <c r="B47" s="83"/>
      <c r="C47" s="85"/>
      <c r="D47" s="69"/>
      <c r="E47" s="69">
        <v>3114</v>
      </c>
      <c r="F47" s="70" t="s">
        <v>130</v>
      </c>
      <c r="G47" s="71">
        <v>5890.66</v>
      </c>
      <c r="H47" s="72"/>
      <c r="I47" s="71">
        <v>6742.55</v>
      </c>
      <c r="J47" s="57">
        <f t="shared" si="2"/>
        <v>114.46170717712447</v>
      </c>
      <c r="K47" s="57"/>
      <c r="L47" s="9"/>
      <c r="M47" s="38"/>
    </row>
    <row r="48" spans="2:14" s="10" customFormat="1" ht="24.95" customHeight="1">
      <c r="B48" s="83"/>
      <c r="C48" s="85"/>
      <c r="D48" s="69">
        <v>312</v>
      </c>
      <c r="E48" s="69"/>
      <c r="F48" s="86" t="s">
        <v>2</v>
      </c>
      <c r="G48" s="71">
        <f>SUM(G49)</f>
        <v>21209.54</v>
      </c>
      <c r="H48" s="72">
        <v>28340</v>
      </c>
      <c r="I48" s="71">
        <f>SUM(I49)</f>
        <v>21222.58</v>
      </c>
      <c r="J48" s="57">
        <f t="shared" si="2"/>
        <v>100.06148176716705</v>
      </c>
      <c r="K48" s="57">
        <f t="shared" si="3"/>
        <v>74.885603387438266</v>
      </c>
      <c r="L48" s="9"/>
    </row>
    <row r="49" spans="2:14" s="10" customFormat="1" ht="24.95" customHeight="1">
      <c r="B49" s="83"/>
      <c r="C49" s="85"/>
      <c r="D49" s="69"/>
      <c r="E49" s="69">
        <v>3121</v>
      </c>
      <c r="F49" s="86" t="s">
        <v>2</v>
      </c>
      <c r="G49" s="71">
        <v>21209.54</v>
      </c>
      <c r="H49" s="72"/>
      <c r="I49" s="71">
        <v>21222.58</v>
      </c>
      <c r="J49" s="57">
        <f t="shared" si="2"/>
        <v>100.06148176716705</v>
      </c>
      <c r="K49" s="57"/>
      <c r="L49" s="9"/>
    </row>
    <row r="50" spans="2:14" s="11" customFormat="1" ht="24.95" customHeight="1">
      <c r="B50" s="83"/>
      <c r="C50" s="85"/>
      <c r="D50" s="69">
        <v>313</v>
      </c>
      <c r="E50" s="69"/>
      <c r="F50" s="86" t="s">
        <v>3</v>
      </c>
      <c r="G50" s="71">
        <f>SUM(G51)</f>
        <v>74634.039999999994</v>
      </c>
      <c r="H50" s="72">
        <v>98196</v>
      </c>
      <c r="I50" s="71">
        <f>SUM(I51:I51)</f>
        <v>94476.1</v>
      </c>
      <c r="J50" s="57">
        <f t="shared" si="2"/>
        <v>126.58580454709407</v>
      </c>
      <c r="K50" s="57">
        <f t="shared" si="3"/>
        <v>96.21176015316307</v>
      </c>
      <c r="L50" s="9"/>
      <c r="M50" s="39"/>
      <c r="N50" s="40"/>
    </row>
    <row r="51" spans="2:14" s="11" customFormat="1" ht="24.95" customHeight="1">
      <c r="B51" s="83"/>
      <c r="C51" s="85"/>
      <c r="D51" s="69"/>
      <c r="E51" s="69">
        <v>3132</v>
      </c>
      <c r="F51" s="86" t="s">
        <v>23</v>
      </c>
      <c r="G51" s="71">
        <v>74634.039999999994</v>
      </c>
      <c r="H51" s="72"/>
      <c r="I51" s="71">
        <v>94476.1</v>
      </c>
      <c r="J51" s="57">
        <f t="shared" si="2"/>
        <v>126.58580454709407</v>
      </c>
      <c r="K51" s="57"/>
      <c r="L51" s="9"/>
      <c r="M51" s="39"/>
      <c r="N51" s="40"/>
    </row>
    <row r="52" spans="2:14" s="10" customFormat="1" ht="24.95" customHeight="1">
      <c r="B52" s="83"/>
      <c r="C52" s="78">
        <v>32</v>
      </c>
      <c r="D52" s="69"/>
      <c r="E52" s="69"/>
      <c r="F52" s="86" t="s">
        <v>4</v>
      </c>
      <c r="G52" s="71">
        <f>G53+G58+G64+G75+G73</f>
        <v>191105.52000000002</v>
      </c>
      <c r="H52" s="72">
        <f>SUM(H53,H58,H64,H75,H73)</f>
        <v>213959.26</v>
      </c>
      <c r="I52" s="71">
        <f>SUM(I53,I58,I64,I75,I73)</f>
        <v>204215.65</v>
      </c>
      <c r="J52" s="57">
        <f t="shared" si="2"/>
        <v>106.86015244352961</v>
      </c>
      <c r="K52" s="57">
        <f t="shared" si="3"/>
        <v>95.446044260949478</v>
      </c>
      <c r="L52" s="9"/>
      <c r="M52" s="39"/>
      <c r="N52" s="40"/>
    </row>
    <row r="53" spans="2:14" s="11" customFormat="1" ht="24.95" customHeight="1">
      <c r="B53" s="83"/>
      <c r="C53" s="85"/>
      <c r="D53" s="69">
        <v>321</v>
      </c>
      <c r="E53" s="69"/>
      <c r="F53" s="86" t="s">
        <v>5</v>
      </c>
      <c r="G53" s="71">
        <f>G54+G55+G56</f>
        <v>49736.32</v>
      </c>
      <c r="H53" s="72">
        <v>63092.26</v>
      </c>
      <c r="I53" s="71">
        <f>I54+I55+I56+I57</f>
        <v>56319.25</v>
      </c>
      <c r="J53" s="57">
        <f t="shared" si="2"/>
        <v>113.23565957433119</v>
      </c>
      <c r="K53" s="57">
        <f t="shared" si="3"/>
        <v>89.264911417026426</v>
      </c>
      <c r="L53" s="9"/>
      <c r="M53" s="39"/>
      <c r="N53" s="40"/>
    </row>
    <row r="54" spans="2:14" s="11" customFormat="1" ht="24.95" customHeight="1">
      <c r="B54" s="83"/>
      <c r="C54" s="85"/>
      <c r="D54" s="69"/>
      <c r="E54" s="69" t="s">
        <v>24</v>
      </c>
      <c r="F54" s="86" t="s">
        <v>25</v>
      </c>
      <c r="G54" s="71">
        <v>2218.63</v>
      </c>
      <c r="H54" s="72"/>
      <c r="I54" s="71">
        <v>3182.13</v>
      </c>
      <c r="J54" s="57">
        <f t="shared" si="2"/>
        <v>143.42770087847006</v>
      </c>
      <c r="K54" s="57"/>
      <c r="L54" s="9"/>
      <c r="M54" s="39"/>
      <c r="N54" s="40"/>
    </row>
    <row r="55" spans="2:14" s="10" customFormat="1" ht="24.95" customHeight="1">
      <c r="B55" s="83"/>
      <c r="C55" s="85"/>
      <c r="D55" s="69"/>
      <c r="E55" s="69" t="s">
        <v>26</v>
      </c>
      <c r="F55" s="86" t="s">
        <v>6</v>
      </c>
      <c r="G55" s="71">
        <v>47517.69</v>
      </c>
      <c r="H55" s="72"/>
      <c r="I55" s="71">
        <v>52119.25</v>
      </c>
      <c r="J55" s="57">
        <f t="shared" si="2"/>
        <v>109.68388825298535</v>
      </c>
      <c r="K55" s="57"/>
      <c r="L55" s="9"/>
      <c r="M55" s="39"/>
      <c r="N55" s="40"/>
    </row>
    <row r="56" spans="2:14" s="11" customFormat="1" ht="24.95" customHeight="1">
      <c r="B56" s="83"/>
      <c r="C56" s="85"/>
      <c r="D56" s="69"/>
      <c r="E56" s="69">
        <v>3213</v>
      </c>
      <c r="F56" s="86" t="s">
        <v>47</v>
      </c>
      <c r="G56" s="71">
        <v>0</v>
      </c>
      <c r="H56" s="72"/>
      <c r="I56" s="71">
        <v>826.5</v>
      </c>
      <c r="J56" s="57"/>
      <c r="K56" s="57"/>
      <c r="L56" s="9"/>
      <c r="M56" s="39"/>
      <c r="N56" s="40"/>
    </row>
    <row r="57" spans="2:14" s="11" customFormat="1" ht="24.95" customHeight="1">
      <c r="B57" s="83"/>
      <c r="C57" s="85"/>
      <c r="D57" s="69"/>
      <c r="E57" s="69">
        <v>3214</v>
      </c>
      <c r="F57" s="86" t="s">
        <v>241</v>
      </c>
      <c r="G57" s="71">
        <v>0</v>
      </c>
      <c r="H57" s="72"/>
      <c r="I57" s="71">
        <v>191.37</v>
      </c>
      <c r="J57" s="57"/>
      <c r="K57" s="57"/>
      <c r="L57" s="9"/>
      <c r="M57" s="39"/>
      <c r="N57" s="40"/>
    </row>
    <row r="58" spans="2:14" s="11" customFormat="1" ht="24.95" customHeight="1">
      <c r="B58" s="83"/>
      <c r="C58" s="85"/>
      <c r="D58" s="69">
        <v>322</v>
      </c>
      <c r="E58" s="69"/>
      <c r="F58" s="86" t="s">
        <v>7</v>
      </c>
      <c r="G58" s="71">
        <f>SUM(G59:G63)</f>
        <v>27874.420000000002</v>
      </c>
      <c r="H58" s="72">
        <v>39104</v>
      </c>
      <c r="I58" s="71">
        <f>SUM(I59:I63)</f>
        <v>36741.769999999997</v>
      </c>
      <c r="J58" s="57">
        <f t="shared" si="2"/>
        <v>131.81178298956533</v>
      </c>
      <c r="K58" s="57">
        <f t="shared" si="3"/>
        <v>93.95910904255318</v>
      </c>
      <c r="L58" s="9"/>
      <c r="M58" s="39"/>
      <c r="N58" s="40"/>
    </row>
    <row r="59" spans="2:14" s="10" customFormat="1" ht="24.95" customHeight="1">
      <c r="B59" s="83"/>
      <c r="C59" s="85"/>
      <c r="D59" s="69"/>
      <c r="E59" s="69" t="s">
        <v>27</v>
      </c>
      <c r="F59" s="86" t="s">
        <v>8</v>
      </c>
      <c r="G59" s="71">
        <v>2163.52</v>
      </c>
      <c r="H59" s="72"/>
      <c r="I59" s="71">
        <v>5949.92</v>
      </c>
      <c r="J59" s="57">
        <f t="shared" si="2"/>
        <v>275.01109303357492</v>
      </c>
      <c r="K59" s="57"/>
      <c r="L59" s="9"/>
      <c r="M59" s="39"/>
      <c r="N59" s="40"/>
    </row>
    <row r="60" spans="2:14" s="10" customFormat="1" ht="24.95" customHeight="1">
      <c r="B60" s="83"/>
      <c r="C60" s="85"/>
      <c r="D60" s="69"/>
      <c r="E60" s="69">
        <v>3222</v>
      </c>
      <c r="F60" s="86" t="s">
        <v>48</v>
      </c>
      <c r="G60" s="71">
        <v>18703.45</v>
      </c>
      <c r="H60" s="72"/>
      <c r="I60" s="71">
        <v>18924.18</v>
      </c>
      <c r="J60" s="57">
        <f t="shared" si="2"/>
        <v>101.1801566021242</v>
      </c>
      <c r="K60" s="57"/>
      <c r="L60" s="9"/>
      <c r="M60" s="39"/>
      <c r="N60" s="40"/>
    </row>
    <row r="61" spans="2:14" s="10" customFormat="1" ht="24.95" customHeight="1">
      <c r="B61" s="83"/>
      <c r="C61" s="85"/>
      <c r="D61" s="69"/>
      <c r="E61" s="69" t="s">
        <v>28</v>
      </c>
      <c r="F61" s="86" t="s">
        <v>29</v>
      </c>
      <c r="G61" s="71">
        <v>3933.64</v>
      </c>
      <c r="H61" s="72"/>
      <c r="I61" s="71">
        <v>8136.42</v>
      </c>
      <c r="J61" s="57">
        <f t="shared" si="2"/>
        <v>206.84200892811745</v>
      </c>
      <c r="K61" s="57"/>
      <c r="L61" s="9"/>
      <c r="M61" s="39"/>
      <c r="N61" s="40"/>
    </row>
    <row r="62" spans="2:14" s="10" customFormat="1" ht="24.95" customHeight="1">
      <c r="B62" s="83"/>
      <c r="C62" s="85"/>
      <c r="D62" s="69"/>
      <c r="E62" s="69" t="s">
        <v>30</v>
      </c>
      <c r="F62" s="86" t="s">
        <v>31</v>
      </c>
      <c r="G62" s="71">
        <v>1164.47</v>
      </c>
      <c r="H62" s="72"/>
      <c r="I62" s="71">
        <v>872.14</v>
      </c>
      <c r="J62" s="57">
        <f t="shared" si="2"/>
        <v>74.89587537678085</v>
      </c>
      <c r="K62" s="57"/>
      <c r="L62" s="9"/>
      <c r="M62" s="39"/>
      <c r="N62" s="40"/>
    </row>
    <row r="63" spans="2:14" s="11" customFormat="1" ht="24.95" customHeight="1">
      <c r="B63" s="83"/>
      <c r="C63" s="85"/>
      <c r="D63" s="69"/>
      <c r="E63" s="69">
        <v>3225</v>
      </c>
      <c r="F63" s="86" t="s">
        <v>49</v>
      </c>
      <c r="G63" s="71">
        <v>1909.34</v>
      </c>
      <c r="H63" s="72"/>
      <c r="I63" s="71">
        <v>2859.11</v>
      </c>
      <c r="J63" s="57">
        <f t="shared" si="2"/>
        <v>149.74336681785329</v>
      </c>
      <c r="K63" s="57"/>
      <c r="L63" s="9"/>
      <c r="M63" s="39"/>
      <c r="N63" s="40"/>
    </row>
    <row r="64" spans="2:14" s="10" customFormat="1" ht="24.95" customHeight="1">
      <c r="B64" s="83"/>
      <c r="C64" s="85"/>
      <c r="D64" s="69">
        <v>323</v>
      </c>
      <c r="E64" s="69"/>
      <c r="F64" s="86" t="s">
        <v>9</v>
      </c>
      <c r="G64" s="71">
        <f>SUM(G65:G72)</f>
        <v>109071.39</v>
      </c>
      <c r="H64" s="72">
        <v>103363</v>
      </c>
      <c r="I64" s="71">
        <f>SUM(I65:I72)</f>
        <v>103840.94</v>
      </c>
      <c r="J64" s="57">
        <f t="shared" si="2"/>
        <v>95.204562809734071</v>
      </c>
      <c r="K64" s="57">
        <f t="shared" si="3"/>
        <v>100.46238983001655</v>
      </c>
      <c r="L64" s="9"/>
      <c r="M64" s="39"/>
      <c r="N64" s="40"/>
    </row>
    <row r="65" spans="2:14" s="10" customFormat="1" ht="24.95" customHeight="1">
      <c r="B65" s="83"/>
      <c r="C65" s="85"/>
      <c r="D65" s="69"/>
      <c r="E65" s="69" t="s">
        <v>32</v>
      </c>
      <c r="F65" s="86" t="s">
        <v>33</v>
      </c>
      <c r="G65" s="71">
        <v>74848.95</v>
      </c>
      <c r="H65" s="72"/>
      <c r="I65" s="146">
        <v>65088.57</v>
      </c>
      <c r="J65" s="57">
        <f t="shared" si="2"/>
        <v>86.95989723302732</v>
      </c>
      <c r="K65" s="57"/>
      <c r="L65" s="9"/>
      <c r="M65" s="39"/>
      <c r="N65" s="40"/>
    </row>
    <row r="66" spans="2:14" s="10" customFormat="1" ht="24.95" customHeight="1">
      <c r="B66" s="83"/>
      <c r="C66" s="85"/>
      <c r="D66" s="69"/>
      <c r="E66" s="69" t="s">
        <v>34</v>
      </c>
      <c r="F66" s="86" t="s">
        <v>35</v>
      </c>
      <c r="G66" s="71">
        <v>2038.13</v>
      </c>
      <c r="H66" s="72"/>
      <c r="I66" s="146">
        <v>3157.98</v>
      </c>
      <c r="J66" s="57">
        <f t="shared" si="2"/>
        <v>154.9449740693675</v>
      </c>
      <c r="K66" s="57"/>
      <c r="L66" s="9"/>
      <c r="M66" s="39"/>
      <c r="N66" s="40"/>
    </row>
    <row r="67" spans="2:14" s="10" customFormat="1" ht="24.95" customHeight="1">
      <c r="B67" s="83"/>
      <c r="C67" s="85"/>
      <c r="D67" s="69"/>
      <c r="E67" s="69">
        <v>3233</v>
      </c>
      <c r="F67" s="86" t="s">
        <v>215</v>
      </c>
      <c r="G67" s="71">
        <v>48.01</v>
      </c>
      <c r="H67" s="72"/>
      <c r="I67" s="146">
        <v>0</v>
      </c>
      <c r="J67" s="57">
        <f t="shared" si="2"/>
        <v>0</v>
      </c>
      <c r="K67" s="57"/>
      <c r="L67" s="9"/>
      <c r="M67" s="39"/>
      <c r="N67" s="40"/>
    </row>
    <row r="68" spans="2:14" s="10" customFormat="1" ht="24.95" customHeight="1">
      <c r="B68" s="83"/>
      <c r="C68" s="85"/>
      <c r="D68" s="69"/>
      <c r="E68" s="69" t="s">
        <v>36</v>
      </c>
      <c r="F68" s="86" t="s">
        <v>37</v>
      </c>
      <c r="G68" s="71">
        <v>3322.72</v>
      </c>
      <c r="H68" s="72"/>
      <c r="I68" s="146">
        <v>3234.91</v>
      </c>
      <c r="J68" s="57">
        <f t="shared" si="2"/>
        <v>97.357285597341942</v>
      </c>
      <c r="K68" s="57"/>
      <c r="L68" s="9"/>
      <c r="M68" s="39"/>
      <c r="N68" s="40"/>
    </row>
    <row r="69" spans="2:14" s="11" customFormat="1" ht="24.95" customHeight="1">
      <c r="B69" s="83"/>
      <c r="C69" s="85"/>
      <c r="D69" s="69"/>
      <c r="E69" s="69">
        <v>3236</v>
      </c>
      <c r="F69" s="86" t="s">
        <v>216</v>
      </c>
      <c r="G69" s="71">
        <v>2073.16</v>
      </c>
      <c r="H69" s="72"/>
      <c r="I69" s="146">
        <v>0</v>
      </c>
      <c r="J69" s="57">
        <f t="shared" si="2"/>
        <v>0</v>
      </c>
      <c r="K69" s="57"/>
      <c r="L69" s="9"/>
      <c r="M69" s="39"/>
      <c r="N69" s="40"/>
    </row>
    <row r="70" spans="2:14" s="10" customFormat="1" ht="24.95" customHeight="1">
      <c r="B70" s="83"/>
      <c r="C70" s="85"/>
      <c r="D70" s="69"/>
      <c r="E70" s="69">
        <v>3237</v>
      </c>
      <c r="F70" s="86" t="s">
        <v>50</v>
      </c>
      <c r="G70" s="71">
        <v>13685.05</v>
      </c>
      <c r="H70" s="72"/>
      <c r="I70" s="146">
        <v>13510.44</v>
      </c>
      <c r="J70" s="57">
        <f t="shared" si="2"/>
        <v>98.724082118808482</v>
      </c>
      <c r="K70" s="57"/>
      <c r="L70" s="9"/>
      <c r="M70" s="39"/>
      <c r="N70" s="40"/>
    </row>
    <row r="71" spans="2:14" s="10" customFormat="1" ht="24.95" customHeight="1">
      <c r="B71" s="83"/>
      <c r="C71" s="85"/>
      <c r="D71" s="69"/>
      <c r="E71" s="69" t="s">
        <v>38</v>
      </c>
      <c r="F71" s="86" t="s">
        <v>39</v>
      </c>
      <c r="G71" s="71">
        <v>2251.5100000000002</v>
      </c>
      <c r="H71" s="72"/>
      <c r="I71" s="146">
        <v>2494.04</v>
      </c>
      <c r="J71" s="57">
        <f t="shared" si="2"/>
        <v>110.77188198142578</v>
      </c>
      <c r="K71" s="57"/>
      <c r="L71" s="9"/>
      <c r="M71" s="39"/>
      <c r="N71" s="40"/>
    </row>
    <row r="72" spans="2:14" s="10" customFormat="1" ht="24.95" customHeight="1">
      <c r="B72" s="83"/>
      <c r="C72" s="85"/>
      <c r="D72" s="69"/>
      <c r="E72" s="69" t="s">
        <v>40</v>
      </c>
      <c r="F72" s="86" t="s">
        <v>10</v>
      </c>
      <c r="G72" s="71">
        <v>10803.86</v>
      </c>
      <c r="H72" s="72"/>
      <c r="I72" s="146">
        <v>16355</v>
      </c>
      <c r="J72" s="57">
        <f t="shared" si="2"/>
        <v>151.38108046568541</v>
      </c>
      <c r="K72" s="57"/>
      <c r="L72" s="9"/>
      <c r="M72" s="39"/>
      <c r="N72" s="40"/>
    </row>
    <row r="73" spans="2:14" s="10" customFormat="1" ht="24.95" customHeight="1">
      <c r="B73" s="83"/>
      <c r="C73" s="85"/>
      <c r="D73" s="69">
        <v>324</v>
      </c>
      <c r="E73" s="69"/>
      <c r="F73" s="86" t="s">
        <v>191</v>
      </c>
      <c r="G73" s="71">
        <f>G74</f>
        <v>720</v>
      </c>
      <c r="H73" s="72">
        <v>0</v>
      </c>
      <c r="I73" s="146">
        <f>I74</f>
        <v>0</v>
      </c>
      <c r="J73" s="57">
        <f t="shared" si="2"/>
        <v>0</v>
      </c>
      <c r="K73" s="57"/>
      <c r="L73" s="9"/>
      <c r="M73" s="39"/>
      <c r="N73" s="40"/>
    </row>
    <row r="74" spans="2:14" s="10" customFormat="1" ht="24.95" customHeight="1">
      <c r="B74" s="83"/>
      <c r="C74" s="85"/>
      <c r="D74" s="69"/>
      <c r="E74" s="69">
        <v>3241</v>
      </c>
      <c r="F74" s="86" t="s">
        <v>191</v>
      </c>
      <c r="G74" s="71">
        <v>720</v>
      </c>
      <c r="H74" s="72"/>
      <c r="I74" s="146">
        <v>0</v>
      </c>
      <c r="J74" s="57">
        <f t="shared" si="2"/>
        <v>0</v>
      </c>
      <c r="K74" s="57"/>
      <c r="L74" s="9"/>
      <c r="M74" s="39"/>
      <c r="N74" s="40"/>
    </row>
    <row r="75" spans="2:14" s="10" customFormat="1" ht="24.95" customHeight="1">
      <c r="B75" s="83"/>
      <c r="C75" s="85"/>
      <c r="D75" s="69">
        <v>329</v>
      </c>
      <c r="E75" s="69"/>
      <c r="F75" s="86" t="s">
        <v>11</v>
      </c>
      <c r="G75" s="71">
        <f>SUM(G76:G80)</f>
        <v>3703.3900000000003</v>
      </c>
      <c r="H75" s="72">
        <v>8400</v>
      </c>
      <c r="I75" s="71">
        <f>SUM(I76:I80)</f>
        <v>7313.6900000000005</v>
      </c>
      <c r="J75" s="57">
        <f t="shared" si="2"/>
        <v>197.48635709444588</v>
      </c>
      <c r="K75" s="57">
        <f t="shared" si="3"/>
        <v>87.067738095238099</v>
      </c>
      <c r="L75" s="9"/>
      <c r="M75" s="39"/>
      <c r="N75" s="40"/>
    </row>
    <row r="76" spans="2:14" s="10" customFormat="1" ht="24.95" customHeight="1">
      <c r="B76" s="83"/>
      <c r="C76" s="85"/>
      <c r="D76" s="69"/>
      <c r="E76" s="69">
        <v>3292</v>
      </c>
      <c r="F76" s="86" t="s">
        <v>192</v>
      </c>
      <c r="G76" s="71">
        <v>215</v>
      </c>
      <c r="H76" s="72"/>
      <c r="I76" s="71">
        <v>0</v>
      </c>
      <c r="J76" s="57">
        <f t="shared" si="2"/>
        <v>0</v>
      </c>
      <c r="K76" s="57"/>
      <c r="L76" s="9"/>
      <c r="M76" s="39"/>
      <c r="N76" s="40"/>
    </row>
    <row r="77" spans="2:14" s="10" customFormat="1" ht="24.95" customHeight="1">
      <c r="B77" s="83"/>
      <c r="C77" s="85"/>
      <c r="D77" s="69"/>
      <c r="E77" s="69">
        <v>3293</v>
      </c>
      <c r="F77" s="86" t="s">
        <v>193</v>
      </c>
      <c r="G77" s="71">
        <v>374.7</v>
      </c>
      <c r="H77" s="72"/>
      <c r="I77" s="71">
        <v>1166.04</v>
      </c>
      <c r="J77" s="57">
        <f t="shared" si="2"/>
        <v>311.1929543634908</v>
      </c>
      <c r="K77" s="57"/>
      <c r="L77" s="9"/>
      <c r="M77" s="39"/>
      <c r="N77" s="40"/>
    </row>
    <row r="78" spans="2:14" s="11" customFormat="1" ht="24.95" customHeight="1">
      <c r="B78" s="83"/>
      <c r="C78" s="85"/>
      <c r="D78" s="69"/>
      <c r="E78" s="69">
        <v>3294</v>
      </c>
      <c r="F78" s="86" t="s">
        <v>51</v>
      </c>
      <c r="G78" s="71">
        <v>53.09</v>
      </c>
      <c r="H78" s="72"/>
      <c r="I78" s="71">
        <v>70</v>
      </c>
      <c r="J78" s="57">
        <f t="shared" si="2"/>
        <v>131.85157280090411</v>
      </c>
      <c r="K78" s="57"/>
      <c r="L78" s="9"/>
      <c r="M78" s="39"/>
      <c r="N78" s="40"/>
    </row>
    <row r="79" spans="2:14" s="10" customFormat="1" ht="24.95" customHeight="1">
      <c r="B79" s="83"/>
      <c r="C79" s="85"/>
      <c r="D79" s="69"/>
      <c r="E79" s="69">
        <v>3295</v>
      </c>
      <c r="F79" s="86" t="s">
        <v>41</v>
      </c>
      <c r="G79" s="71">
        <v>2021.18</v>
      </c>
      <c r="H79" s="72"/>
      <c r="I79" s="71">
        <v>2496</v>
      </c>
      <c r="J79" s="57">
        <f t="shared" si="2"/>
        <v>123.49221741754816</v>
      </c>
      <c r="K79" s="57"/>
      <c r="L79" s="9"/>
      <c r="M79" s="39"/>
      <c r="N79" s="40"/>
    </row>
    <row r="80" spans="2:14" s="11" customFormat="1" ht="24.95" customHeight="1">
      <c r="B80" s="83"/>
      <c r="C80" s="85"/>
      <c r="D80" s="69"/>
      <c r="E80" s="69" t="s">
        <v>42</v>
      </c>
      <c r="F80" s="86" t="s">
        <v>11</v>
      </c>
      <c r="G80" s="71">
        <v>1039.42</v>
      </c>
      <c r="H80" s="72"/>
      <c r="I80" s="71">
        <v>3581.65</v>
      </c>
      <c r="J80" s="57">
        <f t="shared" si="2"/>
        <v>344.58159358103558</v>
      </c>
      <c r="K80" s="57"/>
      <c r="L80" s="9"/>
      <c r="M80" s="39"/>
      <c r="N80" s="40"/>
    </row>
    <row r="81" spans="2:14" s="10" customFormat="1" ht="40.5" customHeight="1">
      <c r="B81" s="83"/>
      <c r="C81" s="78">
        <v>34</v>
      </c>
      <c r="D81" s="62"/>
      <c r="E81" s="69"/>
      <c r="F81" s="86" t="s">
        <v>12</v>
      </c>
      <c r="G81" s="71">
        <f>SUM(G82)</f>
        <v>500.01</v>
      </c>
      <c r="H81" s="72">
        <f>H82</f>
        <v>510</v>
      </c>
      <c r="I81" s="71">
        <f>SUM(I82)</f>
        <v>510</v>
      </c>
      <c r="J81" s="57">
        <f t="shared" si="2"/>
        <v>101.9979600407992</v>
      </c>
      <c r="K81" s="57">
        <f t="shared" si="3"/>
        <v>100</v>
      </c>
      <c r="L81" s="9"/>
      <c r="M81" s="39"/>
      <c r="N81" s="40"/>
    </row>
    <row r="82" spans="2:14" s="10" customFormat="1" ht="33.75" customHeight="1">
      <c r="B82" s="83"/>
      <c r="C82" s="85"/>
      <c r="D82" s="69">
        <v>343</v>
      </c>
      <c r="E82" s="69"/>
      <c r="F82" s="86" t="s">
        <v>13</v>
      </c>
      <c r="G82" s="71">
        <f>SUM(G83:G84)</f>
        <v>500.01</v>
      </c>
      <c r="H82" s="72">
        <v>510</v>
      </c>
      <c r="I82" s="71">
        <f>I83+I84</f>
        <v>510</v>
      </c>
      <c r="J82" s="57">
        <f t="shared" si="2"/>
        <v>101.9979600407992</v>
      </c>
      <c r="K82" s="57">
        <f t="shared" si="3"/>
        <v>100</v>
      </c>
      <c r="L82" s="9"/>
      <c r="M82" s="39"/>
      <c r="N82" s="40"/>
    </row>
    <row r="83" spans="2:14" s="10" customFormat="1" ht="24.95" customHeight="1">
      <c r="B83" s="83"/>
      <c r="C83" s="85"/>
      <c r="D83" s="69"/>
      <c r="E83" s="69" t="s">
        <v>43</v>
      </c>
      <c r="F83" s="86" t="s">
        <v>44</v>
      </c>
      <c r="G83" s="71">
        <v>500</v>
      </c>
      <c r="H83" s="72"/>
      <c r="I83" s="71">
        <v>510</v>
      </c>
      <c r="J83" s="57">
        <f t="shared" si="2"/>
        <v>102</v>
      </c>
      <c r="K83" s="57"/>
      <c r="L83" s="9"/>
      <c r="M83" s="39"/>
      <c r="N83" s="40"/>
    </row>
    <row r="84" spans="2:14" s="10" customFormat="1" ht="24.95" customHeight="1">
      <c r="B84" s="83"/>
      <c r="C84" s="85"/>
      <c r="D84" s="69"/>
      <c r="E84" s="69">
        <v>3433</v>
      </c>
      <c r="F84" s="86" t="s">
        <v>194</v>
      </c>
      <c r="G84" s="71">
        <v>0.01</v>
      </c>
      <c r="H84" s="72"/>
      <c r="I84" s="71">
        <v>0</v>
      </c>
      <c r="J84" s="57">
        <f t="shared" si="2"/>
        <v>0</v>
      </c>
      <c r="K84" s="57"/>
      <c r="L84" s="9"/>
      <c r="M84" s="39"/>
      <c r="N84" s="40"/>
    </row>
    <row r="85" spans="2:14" s="10" customFormat="1" ht="24.95" customHeight="1">
      <c r="B85" s="83"/>
      <c r="C85" s="78">
        <v>37</v>
      </c>
      <c r="D85" s="69"/>
      <c r="E85" s="69"/>
      <c r="F85" s="86" t="s">
        <v>131</v>
      </c>
      <c r="G85" s="71">
        <f>G86</f>
        <v>7140.35</v>
      </c>
      <c r="H85" s="71">
        <f>H86</f>
        <v>8345</v>
      </c>
      <c r="I85" s="71">
        <f>I86</f>
        <v>13335.05</v>
      </c>
      <c r="J85" s="57">
        <f t="shared" si="2"/>
        <v>186.75625144425692</v>
      </c>
      <c r="K85" s="57">
        <f t="shared" si="3"/>
        <v>159.79688436189335</v>
      </c>
      <c r="L85" s="9"/>
      <c r="M85" s="39"/>
      <c r="N85" s="40"/>
    </row>
    <row r="86" spans="2:14" s="10" customFormat="1" ht="24.95" customHeight="1">
      <c r="B86" s="83"/>
      <c r="C86" s="85"/>
      <c r="D86" s="69">
        <v>372</v>
      </c>
      <c r="E86" s="69"/>
      <c r="F86" s="86" t="s">
        <v>132</v>
      </c>
      <c r="G86" s="71">
        <f>G88+G87</f>
        <v>7140.35</v>
      </c>
      <c r="H86" s="71">
        <v>8345</v>
      </c>
      <c r="I86" s="71">
        <f>I88+I87</f>
        <v>13335.05</v>
      </c>
      <c r="J86" s="57">
        <f t="shared" si="2"/>
        <v>186.75625144425692</v>
      </c>
      <c r="K86" s="57">
        <f t="shared" si="3"/>
        <v>159.79688436189335</v>
      </c>
      <c r="L86" s="9"/>
      <c r="M86" s="39"/>
      <c r="N86" s="40"/>
    </row>
    <row r="87" spans="2:14" s="10" customFormat="1" ht="24.95" customHeight="1">
      <c r="B87" s="83"/>
      <c r="C87" s="85"/>
      <c r="D87" s="69"/>
      <c r="E87" s="69">
        <v>3721</v>
      </c>
      <c r="F87" s="86" t="s">
        <v>242</v>
      </c>
      <c r="G87" s="71">
        <v>0</v>
      </c>
      <c r="H87" s="71"/>
      <c r="I87" s="71">
        <v>584</v>
      </c>
      <c r="J87" s="57"/>
      <c r="K87" s="57"/>
      <c r="L87" s="9"/>
      <c r="M87" s="39"/>
      <c r="N87" s="40"/>
    </row>
    <row r="88" spans="2:14" s="10" customFormat="1" ht="24.95" customHeight="1">
      <c r="B88" s="83"/>
      <c r="C88" s="85"/>
      <c r="D88" s="69"/>
      <c r="E88" s="69">
        <v>3722</v>
      </c>
      <c r="F88" s="86" t="s">
        <v>54</v>
      </c>
      <c r="G88" s="71">
        <v>7140.35</v>
      </c>
      <c r="H88" s="72"/>
      <c r="I88" s="71">
        <v>12751.05</v>
      </c>
      <c r="J88" s="57">
        <f t="shared" si="2"/>
        <v>178.57738066061185</v>
      </c>
      <c r="K88" s="57"/>
      <c r="L88" s="9"/>
      <c r="M88" s="39"/>
      <c r="N88" s="40"/>
    </row>
    <row r="89" spans="2:14" s="11" customFormat="1" ht="24.95" customHeight="1">
      <c r="B89" s="83"/>
      <c r="C89" s="87">
        <v>38</v>
      </c>
      <c r="D89" s="69"/>
      <c r="E89" s="69"/>
      <c r="F89" s="86" t="s">
        <v>133</v>
      </c>
      <c r="G89" s="71">
        <f>G90</f>
        <v>184.5</v>
      </c>
      <c r="H89" s="72">
        <f>H90</f>
        <v>153</v>
      </c>
      <c r="I89" s="71">
        <f>I90</f>
        <v>153</v>
      </c>
      <c r="J89" s="57">
        <f t="shared" si="2"/>
        <v>82.926829268292678</v>
      </c>
      <c r="K89" s="57">
        <f t="shared" si="3"/>
        <v>100</v>
      </c>
      <c r="L89" s="9"/>
      <c r="M89" s="39"/>
      <c r="N89" s="40"/>
    </row>
    <row r="90" spans="2:14" s="11" customFormat="1" ht="24.95" customHeight="1">
      <c r="B90" s="83"/>
      <c r="C90" s="85"/>
      <c r="D90" s="88">
        <v>381</v>
      </c>
      <c r="E90" s="88"/>
      <c r="F90" s="89" t="s">
        <v>59</v>
      </c>
      <c r="G90" s="90">
        <f>G91</f>
        <v>184.5</v>
      </c>
      <c r="H90" s="91">
        <v>153</v>
      </c>
      <c r="I90" s="90">
        <f>I91</f>
        <v>153</v>
      </c>
      <c r="J90" s="57">
        <f t="shared" si="2"/>
        <v>82.926829268292678</v>
      </c>
      <c r="K90" s="57">
        <f t="shared" si="3"/>
        <v>100</v>
      </c>
      <c r="L90" s="9"/>
      <c r="M90" s="39"/>
      <c r="N90" s="40"/>
    </row>
    <row r="91" spans="2:14" s="10" customFormat="1" ht="24.95" customHeight="1">
      <c r="B91" s="83"/>
      <c r="C91" s="62"/>
      <c r="D91" s="88"/>
      <c r="E91" s="88">
        <v>3812</v>
      </c>
      <c r="F91" s="89" t="s">
        <v>134</v>
      </c>
      <c r="G91" s="90">
        <v>184.5</v>
      </c>
      <c r="H91" s="91"/>
      <c r="I91" s="90">
        <v>153</v>
      </c>
      <c r="J91" s="57">
        <f t="shared" si="2"/>
        <v>82.926829268292678</v>
      </c>
      <c r="K91" s="57"/>
      <c r="L91" s="9"/>
      <c r="M91" s="39"/>
      <c r="N91" s="40"/>
    </row>
    <row r="92" spans="2:14" s="10" customFormat="1" ht="24.95" customHeight="1">
      <c r="B92" s="92">
        <v>4</v>
      </c>
      <c r="C92" s="93"/>
      <c r="D92" s="94"/>
      <c r="E92" s="94"/>
      <c r="F92" s="84" t="s">
        <v>135</v>
      </c>
      <c r="G92" s="206">
        <f>G93+G99</f>
        <v>38654.78</v>
      </c>
      <c r="H92" s="207">
        <f>H93+H99</f>
        <v>9742</v>
      </c>
      <c r="I92" s="206">
        <f>I93+I99</f>
        <v>4387.26</v>
      </c>
      <c r="J92" s="57">
        <f t="shared" si="2"/>
        <v>11.349851169764776</v>
      </c>
      <c r="K92" s="57">
        <f t="shared" si="3"/>
        <v>45.034489837815642</v>
      </c>
      <c r="L92" s="9"/>
      <c r="M92" s="39"/>
      <c r="N92" s="40"/>
    </row>
    <row r="93" spans="2:14" s="10" customFormat="1" ht="24.95" customHeight="1">
      <c r="B93" s="83"/>
      <c r="C93" s="69">
        <v>42</v>
      </c>
      <c r="D93" s="69"/>
      <c r="E93" s="69"/>
      <c r="F93" s="86" t="s">
        <v>15</v>
      </c>
      <c r="G93" s="71">
        <f>G94+G97</f>
        <v>6154.78</v>
      </c>
      <c r="H93" s="72">
        <f>H94+H97</f>
        <v>9742</v>
      </c>
      <c r="I93" s="71">
        <f>I94+I97</f>
        <v>4387.26</v>
      </c>
      <c r="J93" s="57">
        <f t="shared" si="2"/>
        <v>71.282157932533735</v>
      </c>
      <c r="K93" s="57">
        <f t="shared" si="3"/>
        <v>45.034489837815642</v>
      </c>
      <c r="L93" s="9"/>
      <c r="M93" s="39"/>
      <c r="N93" s="40"/>
    </row>
    <row r="94" spans="2:14" s="11" customFormat="1" ht="24.95" customHeight="1">
      <c r="B94" s="83"/>
      <c r="C94" s="62"/>
      <c r="D94" s="69">
        <v>422</v>
      </c>
      <c r="E94" s="69"/>
      <c r="F94" s="86" t="s">
        <v>14</v>
      </c>
      <c r="G94" s="71">
        <f>SUM(G95:G96)</f>
        <v>1399</v>
      </c>
      <c r="H94" s="72">
        <v>3632</v>
      </c>
      <c r="I94" s="71">
        <f>SUM(I95:I96)</f>
        <v>3837.07</v>
      </c>
      <c r="J94" s="57">
        <f t="shared" si="2"/>
        <v>274.27233738384558</v>
      </c>
      <c r="K94" s="57">
        <f t="shared" si="3"/>
        <v>105.64620044052863</v>
      </c>
      <c r="L94" s="9"/>
      <c r="M94" s="39"/>
      <c r="N94" s="40"/>
    </row>
    <row r="95" spans="2:14" s="11" customFormat="1" ht="24.95" customHeight="1">
      <c r="B95" s="83"/>
      <c r="C95" s="62"/>
      <c r="D95" s="69"/>
      <c r="E95" s="69">
        <v>4221</v>
      </c>
      <c r="F95" s="86" t="s">
        <v>177</v>
      </c>
      <c r="G95" s="71">
        <v>1399</v>
      </c>
      <c r="H95" s="72"/>
      <c r="I95" s="71">
        <v>2805.9</v>
      </c>
      <c r="J95" s="57">
        <f t="shared" si="2"/>
        <v>200.5646890636169</v>
      </c>
      <c r="K95" s="57"/>
      <c r="L95" s="9"/>
      <c r="M95" s="39"/>
      <c r="N95" s="40"/>
    </row>
    <row r="96" spans="2:14" s="11" customFormat="1" ht="24.95" customHeight="1">
      <c r="B96" s="83"/>
      <c r="C96" s="62"/>
      <c r="D96" s="69"/>
      <c r="E96" s="69">
        <v>4223</v>
      </c>
      <c r="F96" s="86" t="s">
        <v>243</v>
      </c>
      <c r="G96" s="71">
        <v>0</v>
      </c>
      <c r="H96" s="72"/>
      <c r="I96" s="71">
        <v>1031.17</v>
      </c>
      <c r="J96" s="57"/>
      <c r="K96" s="57"/>
      <c r="L96" s="9"/>
      <c r="M96" s="39"/>
      <c r="N96" s="40"/>
    </row>
    <row r="97" spans="2:14" s="10" customFormat="1" ht="24.95" customHeight="1">
      <c r="B97" s="83"/>
      <c r="C97" s="62"/>
      <c r="D97" s="69">
        <v>424</v>
      </c>
      <c r="E97" s="69"/>
      <c r="F97" s="86" t="s">
        <v>52</v>
      </c>
      <c r="G97" s="71">
        <f>G98</f>
        <v>4755.78</v>
      </c>
      <c r="H97" s="72">
        <v>6110</v>
      </c>
      <c r="I97" s="71">
        <f>I98</f>
        <v>550.19000000000005</v>
      </c>
      <c r="J97" s="57">
        <f t="shared" si="2"/>
        <v>11.568869880440225</v>
      </c>
      <c r="K97" s="57">
        <f t="shared" si="3"/>
        <v>9.0047463175122751</v>
      </c>
      <c r="L97" s="9"/>
      <c r="M97" s="39"/>
      <c r="N97" s="40"/>
    </row>
    <row r="98" spans="2:14" s="10" customFormat="1" ht="24.95" customHeight="1">
      <c r="B98" s="93"/>
      <c r="C98" s="62"/>
      <c r="D98" s="69"/>
      <c r="E98" s="69">
        <v>4241</v>
      </c>
      <c r="F98" s="86" t="s">
        <v>53</v>
      </c>
      <c r="G98" s="71">
        <v>4755.78</v>
      </c>
      <c r="H98" s="72"/>
      <c r="I98" s="71">
        <v>550.19000000000005</v>
      </c>
      <c r="J98" s="57">
        <f t="shared" si="2"/>
        <v>11.568869880440225</v>
      </c>
      <c r="K98" s="57"/>
      <c r="L98" s="9"/>
      <c r="M98" s="39"/>
      <c r="N98" s="40"/>
    </row>
    <row r="99" spans="2:14" s="10" customFormat="1" ht="24.95" customHeight="1">
      <c r="B99" s="93"/>
      <c r="C99" s="69">
        <v>45</v>
      </c>
      <c r="D99" s="69"/>
      <c r="E99" s="69"/>
      <c r="F99" s="86" t="s">
        <v>57</v>
      </c>
      <c r="G99" s="71">
        <f>G100</f>
        <v>32500</v>
      </c>
      <c r="H99" s="72">
        <f>H100</f>
        <v>0</v>
      </c>
      <c r="I99" s="71">
        <f>I100</f>
        <v>0</v>
      </c>
      <c r="J99" s="57">
        <f t="shared" si="2"/>
        <v>0</v>
      </c>
      <c r="K99" s="57"/>
      <c r="L99" s="9"/>
      <c r="M99" s="39"/>
      <c r="N99" s="40"/>
    </row>
    <row r="100" spans="2:14" s="10" customFormat="1" ht="24.95" customHeight="1">
      <c r="B100" s="95"/>
      <c r="C100" s="62"/>
      <c r="D100" s="69">
        <v>451</v>
      </c>
      <c r="E100" s="69"/>
      <c r="F100" s="86" t="s">
        <v>58</v>
      </c>
      <c r="G100" s="71">
        <f>G101</f>
        <v>32500</v>
      </c>
      <c r="H100" s="72">
        <v>0</v>
      </c>
      <c r="I100" s="71">
        <f>I101</f>
        <v>0</v>
      </c>
      <c r="J100" s="57">
        <f t="shared" si="2"/>
        <v>0</v>
      </c>
      <c r="K100" s="57"/>
      <c r="L100" s="9"/>
      <c r="M100" s="39"/>
      <c r="N100" s="40"/>
    </row>
    <row r="101" spans="2:14" s="10" customFormat="1" ht="24.95" customHeight="1">
      <c r="B101" s="95"/>
      <c r="C101" s="62"/>
      <c r="D101" s="69"/>
      <c r="E101" s="69">
        <v>4511</v>
      </c>
      <c r="F101" s="86" t="s">
        <v>58</v>
      </c>
      <c r="G101" s="71">
        <v>32500</v>
      </c>
      <c r="H101" s="72"/>
      <c r="I101" s="71">
        <v>0</v>
      </c>
      <c r="J101" s="57">
        <f t="shared" si="2"/>
        <v>0</v>
      </c>
      <c r="K101" s="57"/>
      <c r="L101" s="9"/>
      <c r="M101" s="39"/>
      <c r="N101" s="40"/>
    </row>
    <row r="102" spans="2:14" s="10" customFormat="1" ht="20.25">
      <c r="C102" s="7"/>
      <c r="D102" s="7"/>
      <c r="E102" s="7"/>
      <c r="F102" s="7"/>
      <c r="G102" s="7"/>
      <c r="H102" s="7"/>
      <c r="I102" s="7"/>
      <c r="J102" s="7"/>
      <c r="K102" s="7"/>
      <c r="L102" s="9"/>
      <c r="M102" s="39"/>
      <c r="N102" s="40"/>
    </row>
    <row r="103" spans="2:14" s="10" customFormat="1">
      <c r="C103" s="1"/>
      <c r="D103" s="1"/>
      <c r="E103" s="1"/>
      <c r="F103" s="1"/>
      <c r="G103" s="1"/>
      <c r="H103" s="1"/>
      <c r="I103" s="1"/>
      <c r="J103" s="6"/>
      <c r="K103" s="6"/>
      <c r="L103" s="9"/>
      <c r="M103" s="39"/>
      <c r="N103" s="40"/>
    </row>
    <row r="104" spans="2:14" s="10" customFormat="1">
      <c r="B104" s="290" t="s">
        <v>61</v>
      </c>
      <c r="C104" s="291"/>
      <c r="D104" s="291"/>
      <c r="E104" s="291"/>
      <c r="F104" s="292"/>
      <c r="G104" s="296" t="s">
        <v>171</v>
      </c>
      <c r="H104" s="296" t="s">
        <v>235</v>
      </c>
      <c r="I104" s="296" t="s">
        <v>236</v>
      </c>
      <c r="J104" s="288" t="s">
        <v>62</v>
      </c>
      <c r="K104" s="288" t="s">
        <v>62</v>
      </c>
      <c r="L104" s="9"/>
      <c r="M104" s="39"/>
      <c r="N104" s="40"/>
    </row>
    <row r="105" spans="2:14" s="12" customFormat="1" ht="24.6" customHeight="1">
      <c r="B105" s="293"/>
      <c r="C105" s="294"/>
      <c r="D105" s="294"/>
      <c r="E105" s="294"/>
      <c r="F105" s="295"/>
      <c r="G105" s="297"/>
      <c r="H105" s="297"/>
      <c r="I105" s="297"/>
      <c r="J105" s="288"/>
      <c r="K105" s="288"/>
      <c r="L105" s="9"/>
      <c r="M105" s="39"/>
      <c r="N105" s="40"/>
    </row>
    <row r="106" spans="2:14" s="9" customFormat="1">
      <c r="B106" s="132"/>
      <c r="C106" s="289">
        <v>1</v>
      </c>
      <c r="D106" s="289"/>
      <c r="E106" s="289"/>
      <c r="F106" s="289"/>
      <c r="G106" s="108">
        <v>2</v>
      </c>
      <c r="H106" s="108">
        <v>3</v>
      </c>
      <c r="I106" s="109">
        <v>4</v>
      </c>
      <c r="J106" s="133">
        <v>5</v>
      </c>
      <c r="K106" s="133">
        <v>6</v>
      </c>
    </row>
    <row r="107" spans="2:14" s="9" customFormat="1" ht="20.25">
      <c r="B107" s="83">
        <v>9</v>
      </c>
      <c r="C107" s="62"/>
      <c r="D107" s="69"/>
      <c r="E107" s="69"/>
      <c r="F107" s="134" t="s">
        <v>161</v>
      </c>
      <c r="G107" s="208">
        <f t="shared" ref="G107:I108" si="4">G108</f>
        <v>409.83</v>
      </c>
      <c r="H107" s="208">
        <f>H108</f>
        <v>153</v>
      </c>
      <c r="I107" s="208">
        <f t="shared" si="4"/>
        <v>-152.57</v>
      </c>
      <c r="J107" s="57">
        <f>I107/G107*100</f>
        <v>-37.227630968938342</v>
      </c>
      <c r="K107" s="57">
        <f>I107/H107*100</f>
        <v>-99.718954248366003</v>
      </c>
      <c r="M107" s="7"/>
    </row>
    <row r="108" spans="2:14">
      <c r="B108" s="62"/>
      <c r="C108" s="62">
        <v>92</v>
      </c>
      <c r="D108" s="69"/>
      <c r="E108" s="69"/>
      <c r="F108" s="70" t="s">
        <v>160</v>
      </c>
      <c r="G108" s="148">
        <f t="shared" si="4"/>
        <v>409.83</v>
      </c>
      <c r="H108" s="148">
        <f>H109</f>
        <v>153</v>
      </c>
      <c r="I108" s="148">
        <f t="shared" si="4"/>
        <v>-152.57</v>
      </c>
      <c r="J108" s="57">
        <f t="shared" ref="J108:J114" si="5">I108/G108*100</f>
        <v>-37.227630968938342</v>
      </c>
      <c r="K108" s="57">
        <f t="shared" ref="K108:K112" si="6">I108/H108*100</f>
        <v>-99.718954248366003</v>
      </c>
      <c r="L108" s="9"/>
    </row>
    <row r="109" spans="2:14">
      <c r="B109" s="62"/>
      <c r="C109" s="62"/>
      <c r="D109" s="69">
        <v>922</v>
      </c>
      <c r="E109" s="69"/>
      <c r="F109" s="70" t="s">
        <v>162</v>
      </c>
      <c r="G109" s="148">
        <f>G110</f>
        <v>409.83</v>
      </c>
      <c r="H109" s="148">
        <f>H110</f>
        <v>153</v>
      </c>
      <c r="I109" s="148">
        <f>I110</f>
        <v>-152.57</v>
      </c>
      <c r="J109" s="57">
        <f t="shared" si="5"/>
        <v>-37.227630968938342</v>
      </c>
      <c r="K109" s="57">
        <f t="shared" si="6"/>
        <v>-99.718954248366003</v>
      </c>
      <c r="L109" s="9"/>
    </row>
    <row r="110" spans="2:14">
      <c r="B110" s="62"/>
      <c r="C110" s="62"/>
      <c r="D110" s="69"/>
      <c r="E110" s="69">
        <v>9222</v>
      </c>
      <c r="F110" s="70" t="s">
        <v>173</v>
      </c>
      <c r="G110" s="148">
        <v>409.83</v>
      </c>
      <c r="H110" s="148">
        <v>153</v>
      </c>
      <c r="I110" s="148">
        <v>-152.57</v>
      </c>
      <c r="J110" s="57">
        <f t="shared" si="5"/>
        <v>-37.227630968938342</v>
      </c>
      <c r="K110" s="57">
        <f t="shared" si="6"/>
        <v>-99.718954248366003</v>
      </c>
      <c r="L110" s="9"/>
    </row>
    <row r="111" spans="2:14" ht="25.5">
      <c r="B111" s="62"/>
      <c r="C111" s="62"/>
      <c r="D111" s="69"/>
      <c r="E111" s="69"/>
      <c r="F111" s="70" t="s">
        <v>163</v>
      </c>
      <c r="G111" s="148">
        <f>G10</f>
        <v>786360.44000000006</v>
      </c>
      <c r="H111" s="148">
        <f>H10+H110</f>
        <v>956716.75</v>
      </c>
      <c r="I111" s="148">
        <f>I10</f>
        <v>860693.95000000007</v>
      </c>
      <c r="J111" s="57">
        <f t="shared" si="5"/>
        <v>109.45285472397366</v>
      </c>
      <c r="K111" s="57">
        <f t="shared" si="6"/>
        <v>89.963298959697326</v>
      </c>
      <c r="L111" s="9"/>
    </row>
    <row r="112" spans="2:14" ht="25.5">
      <c r="B112" s="62"/>
      <c r="C112" s="62"/>
      <c r="D112" s="69"/>
      <c r="E112" s="69"/>
      <c r="F112" s="70" t="s">
        <v>169</v>
      </c>
      <c r="G112" s="148">
        <f>G41</f>
        <v>786922.84</v>
      </c>
      <c r="H112" s="148">
        <f>H41</f>
        <v>956563.75</v>
      </c>
      <c r="I112" s="148">
        <f>I41</f>
        <v>914935.14</v>
      </c>
      <c r="J112" s="57">
        <f t="shared" si="5"/>
        <v>116.26745260056246</v>
      </c>
      <c r="K112" s="57">
        <f t="shared" si="6"/>
        <v>95.648109182477384</v>
      </c>
      <c r="L112" s="9"/>
    </row>
    <row r="113" spans="2:11">
      <c r="B113" s="147"/>
      <c r="C113" s="147"/>
      <c r="D113" s="147"/>
      <c r="E113" s="147"/>
      <c r="F113" s="62" t="s">
        <v>178</v>
      </c>
      <c r="G113" s="149">
        <f>G111-G112</f>
        <v>-562.39999999990687</v>
      </c>
      <c r="H113" s="150" t="s">
        <v>180</v>
      </c>
      <c r="I113" s="149">
        <f>I111-I112</f>
        <v>-54241.189999999944</v>
      </c>
      <c r="J113" s="57">
        <f t="shared" si="5"/>
        <v>9644.5928165022997</v>
      </c>
      <c r="K113" s="57"/>
    </row>
    <row r="114" spans="2:11">
      <c r="B114" s="147"/>
      <c r="C114" s="147"/>
      <c r="D114" s="147"/>
      <c r="E114" s="147"/>
      <c r="F114" s="62" t="s">
        <v>179</v>
      </c>
      <c r="G114" s="149">
        <f>G113+G110</f>
        <v>-152.56999999990688</v>
      </c>
      <c r="H114" s="150" t="s">
        <v>180</v>
      </c>
      <c r="I114" s="149">
        <f>I113+I110</f>
        <v>-54393.759999999944</v>
      </c>
      <c r="J114" s="57">
        <f t="shared" si="5"/>
        <v>35651.674641170044</v>
      </c>
      <c r="K114" s="57"/>
    </row>
  </sheetData>
  <mergeCells count="24">
    <mergeCell ref="B1:K1"/>
    <mergeCell ref="B3:K3"/>
    <mergeCell ref="B5:K5"/>
    <mergeCell ref="J38:J39"/>
    <mergeCell ref="K38:K39"/>
    <mergeCell ref="I38:I39"/>
    <mergeCell ref="K7:K8"/>
    <mergeCell ref="J7:J8"/>
    <mergeCell ref="C40:F40"/>
    <mergeCell ref="I7:I8"/>
    <mergeCell ref="G38:G39"/>
    <mergeCell ref="H38:H39"/>
    <mergeCell ref="G7:G8"/>
    <mergeCell ref="H7:H8"/>
    <mergeCell ref="B7:F8"/>
    <mergeCell ref="B38:F39"/>
    <mergeCell ref="B9:F9"/>
    <mergeCell ref="K104:K105"/>
    <mergeCell ref="C106:F106"/>
    <mergeCell ref="B104:F105"/>
    <mergeCell ref="G104:G105"/>
    <mergeCell ref="H104:H105"/>
    <mergeCell ref="I104:I105"/>
    <mergeCell ref="J104:J10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/>
  <ignoredErrors>
    <ignoredError sqref="H8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J32"/>
  <sheetViews>
    <sheetView zoomScaleNormal="100" workbookViewId="0">
      <selection activeCell="E21" sqref="E21"/>
    </sheetView>
  </sheetViews>
  <sheetFormatPr defaultRowHeight="12.75"/>
  <cols>
    <col min="2" max="2" width="37.7109375" customWidth="1"/>
    <col min="3" max="5" width="25.28515625" customWidth="1"/>
    <col min="6" max="7" width="15.7109375" customWidth="1"/>
    <col min="9" max="10" width="9.7109375" bestFit="1" customWidth="1"/>
  </cols>
  <sheetData>
    <row r="1" spans="2:10" ht="18">
      <c r="B1" s="13"/>
      <c r="C1" s="13"/>
      <c r="D1" s="13"/>
      <c r="E1" s="14"/>
      <c r="F1" s="14"/>
      <c r="G1" s="14"/>
    </row>
    <row r="2" spans="2:10" ht="15.75" customHeight="1">
      <c r="B2" s="313" t="s">
        <v>60</v>
      </c>
      <c r="C2" s="313"/>
      <c r="D2" s="313"/>
      <c r="E2" s="313"/>
      <c r="F2" s="313"/>
      <c r="G2" s="313"/>
    </row>
    <row r="3" spans="2:10" ht="18">
      <c r="B3" s="13"/>
      <c r="C3" s="13"/>
      <c r="D3" s="13"/>
      <c r="E3" s="14"/>
      <c r="F3" s="14"/>
      <c r="G3" s="14"/>
    </row>
    <row r="4" spans="2:10" ht="25.5">
      <c r="B4" s="15" t="s">
        <v>61</v>
      </c>
      <c r="C4" s="15" t="s">
        <v>238</v>
      </c>
      <c r="D4" s="223" t="s">
        <v>235</v>
      </c>
      <c r="E4" s="223" t="s">
        <v>236</v>
      </c>
      <c r="F4" s="15" t="s">
        <v>62</v>
      </c>
      <c r="G4" s="15" t="s">
        <v>62</v>
      </c>
    </row>
    <row r="5" spans="2:10"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</row>
    <row r="6" spans="2:10">
      <c r="B6" s="16" t="s">
        <v>45</v>
      </c>
      <c r="C6" s="154">
        <f>C7+C9+C11+C15</f>
        <v>786770.27</v>
      </c>
      <c r="D6" s="155">
        <f>D7+D9+D11+D15</f>
        <v>956716.75</v>
      </c>
      <c r="E6" s="155">
        <f>E7+E9+E11+E15</f>
        <v>860693.95</v>
      </c>
      <c r="F6" s="52">
        <f>E6/C6*100</f>
        <v>109.39584054186491</v>
      </c>
      <c r="G6" s="52">
        <f>E6/D6*100</f>
        <v>89.963298959697312</v>
      </c>
      <c r="I6" s="135"/>
    </row>
    <row r="7" spans="2:10">
      <c r="B7" s="16" t="s">
        <v>63</v>
      </c>
      <c r="C7" s="151">
        <f>C8</f>
        <v>29182.23</v>
      </c>
      <c r="D7" s="151">
        <f>D8</f>
        <v>48984.75</v>
      </c>
      <c r="E7" s="224">
        <f>E8</f>
        <v>45924.79</v>
      </c>
      <c r="F7" s="52">
        <f t="shared" ref="F7:F32" si="0">E7/C7*100</f>
        <v>157.37244891840001</v>
      </c>
      <c r="G7" s="52">
        <f t="shared" ref="G7:G32" si="1">E7/D7*100</f>
        <v>93.753239528628811</v>
      </c>
      <c r="I7" s="135"/>
    </row>
    <row r="8" spans="2:10">
      <c r="B8" s="18" t="s">
        <v>184</v>
      </c>
      <c r="C8" s="151">
        <v>29182.23</v>
      </c>
      <c r="D8" s="151">
        <v>48984.75</v>
      </c>
      <c r="E8" s="224">
        <v>45924.79</v>
      </c>
      <c r="F8" s="52">
        <f t="shared" si="0"/>
        <v>157.37244891840001</v>
      </c>
      <c r="G8" s="52">
        <f t="shared" si="1"/>
        <v>93.753239528628811</v>
      </c>
      <c r="H8" s="227"/>
      <c r="I8" s="135"/>
    </row>
    <row r="9" spans="2:10">
      <c r="B9" s="16" t="s">
        <v>67</v>
      </c>
      <c r="C9" s="151">
        <f>C10</f>
        <v>33843.85</v>
      </c>
      <c r="D9" s="152">
        <f>D10</f>
        <v>7061</v>
      </c>
      <c r="E9" s="225">
        <f>E10</f>
        <v>5209.8500000000004</v>
      </c>
      <c r="F9" s="52">
        <f t="shared" si="0"/>
        <v>15.393786463419501</v>
      </c>
      <c r="G9" s="52">
        <f t="shared" si="1"/>
        <v>73.783458433649628</v>
      </c>
      <c r="I9" s="135"/>
    </row>
    <row r="10" spans="2:10">
      <c r="B10" s="19" t="s">
        <v>183</v>
      </c>
      <c r="C10" s="151">
        <v>33843.85</v>
      </c>
      <c r="D10" s="152">
        <v>7061</v>
      </c>
      <c r="E10" s="225">
        <v>5209.8500000000004</v>
      </c>
      <c r="F10" s="52">
        <f t="shared" si="0"/>
        <v>15.393786463419501</v>
      </c>
      <c r="G10" s="52">
        <f t="shared" si="1"/>
        <v>73.783458433649628</v>
      </c>
      <c r="I10" s="135"/>
    </row>
    <row r="11" spans="2:10">
      <c r="B11" s="16" t="s">
        <v>68</v>
      </c>
      <c r="C11" s="151">
        <f>C12+C14+C13</f>
        <v>112750.13</v>
      </c>
      <c r="D11" s="152">
        <f>D12+D14+D13</f>
        <v>100153</v>
      </c>
      <c r="E11" s="225">
        <f>E12+E14+E13</f>
        <v>98807.34</v>
      </c>
      <c r="F11" s="52">
        <f t="shared" si="0"/>
        <v>87.633903393282111</v>
      </c>
      <c r="G11" s="52">
        <f t="shared" si="1"/>
        <v>98.656395714556723</v>
      </c>
      <c r="I11" s="135"/>
    </row>
    <row r="12" spans="2:10">
      <c r="B12" s="102" t="s">
        <v>181</v>
      </c>
      <c r="C12" s="151">
        <v>2330.3000000000002</v>
      </c>
      <c r="D12" s="153">
        <v>19153</v>
      </c>
      <c r="E12" s="226">
        <f>17886.97</f>
        <v>17886.97</v>
      </c>
      <c r="F12" s="52">
        <f t="shared" si="0"/>
        <v>767.58228554263394</v>
      </c>
      <c r="G12" s="52">
        <f t="shared" si="1"/>
        <v>93.389912807393102</v>
      </c>
      <c r="I12" s="135"/>
    </row>
    <row r="13" spans="2:10" ht="25.5">
      <c r="B13" s="199" t="s">
        <v>228</v>
      </c>
      <c r="C13" s="151">
        <v>409.83</v>
      </c>
      <c r="D13" s="153">
        <v>0</v>
      </c>
      <c r="E13" s="226">
        <v>0</v>
      </c>
      <c r="F13" s="52">
        <f t="shared" si="0"/>
        <v>0</v>
      </c>
      <c r="G13" s="52"/>
      <c r="I13" s="135"/>
    </row>
    <row r="14" spans="2:10">
      <c r="B14" s="19" t="s">
        <v>182</v>
      </c>
      <c r="C14" s="151">
        <v>110010</v>
      </c>
      <c r="D14" s="152">
        <v>81000</v>
      </c>
      <c r="E14" s="225">
        <v>80920.37</v>
      </c>
      <c r="F14" s="52">
        <f t="shared" si="0"/>
        <v>73.557285701299875</v>
      </c>
      <c r="G14" s="52">
        <f t="shared" si="1"/>
        <v>99.901691358024678</v>
      </c>
      <c r="I14" s="135"/>
    </row>
    <row r="15" spans="2:10">
      <c r="B15" s="21" t="s">
        <v>72</v>
      </c>
      <c r="C15" s="151">
        <f>C17+C16+C18</f>
        <v>610994.06000000006</v>
      </c>
      <c r="D15" s="152">
        <f>D17+D18+D16</f>
        <v>800518</v>
      </c>
      <c r="E15" s="225">
        <f>E17+E18+E16</f>
        <v>710751.97</v>
      </c>
      <c r="F15" s="52">
        <f t="shared" si="0"/>
        <v>116.32714890877989</v>
      </c>
      <c r="G15" s="52">
        <f t="shared" si="1"/>
        <v>88.786506986726081</v>
      </c>
      <c r="I15" s="135"/>
    </row>
    <row r="16" spans="2:10">
      <c r="B16" s="19" t="s">
        <v>197</v>
      </c>
      <c r="C16" s="151">
        <v>23704.36</v>
      </c>
      <c r="D16" s="152">
        <v>30803</v>
      </c>
      <c r="E16" s="225">
        <v>19174.14</v>
      </c>
      <c r="F16" s="52">
        <f t="shared" si="0"/>
        <v>80.888663520128773</v>
      </c>
      <c r="G16" s="52">
        <f t="shared" si="1"/>
        <v>62.247638217056775</v>
      </c>
      <c r="I16" s="135"/>
      <c r="J16" s="135"/>
    </row>
    <row r="17" spans="2:10">
      <c r="B17" s="166" t="s">
        <v>195</v>
      </c>
      <c r="C17" s="151">
        <v>8868.08</v>
      </c>
      <c r="D17" s="152">
        <v>15762</v>
      </c>
      <c r="E17" s="225">
        <v>15042.75</v>
      </c>
      <c r="F17" s="52">
        <f t="shared" si="0"/>
        <v>169.62803673399429</v>
      </c>
      <c r="G17" s="52">
        <f t="shared" si="1"/>
        <v>95.436810049486112</v>
      </c>
      <c r="I17" s="135"/>
      <c r="J17" s="135"/>
    </row>
    <row r="18" spans="2:10">
      <c r="B18" s="19" t="s">
        <v>196</v>
      </c>
      <c r="C18" s="151">
        <v>578421.62</v>
      </c>
      <c r="D18" s="152">
        <v>753953</v>
      </c>
      <c r="E18" s="225">
        <v>676535.08</v>
      </c>
      <c r="F18" s="52">
        <f t="shared" si="0"/>
        <v>116.96227398968939</v>
      </c>
      <c r="G18" s="52">
        <f t="shared" si="1"/>
        <v>89.731731288289851</v>
      </c>
      <c r="I18" s="135"/>
      <c r="J18" s="135"/>
    </row>
    <row r="19" spans="2:10">
      <c r="B19" s="19"/>
      <c r="C19" s="151"/>
      <c r="D19" s="152"/>
      <c r="E19" s="153"/>
      <c r="F19" s="52"/>
      <c r="G19" s="52"/>
    </row>
    <row r="20" spans="2:10" ht="15.75" customHeight="1">
      <c r="B20" s="16" t="s">
        <v>46</v>
      </c>
      <c r="C20" s="154">
        <f>C21+C23+C25+C29</f>
        <v>786922.84</v>
      </c>
      <c r="D20" s="222">
        <f>D21+D23+D25+D29</f>
        <v>956716.75</v>
      </c>
      <c r="E20" s="200">
        <f>E21+E23+E25+E29</f>
        <v>915087.70999999985</v>
      </c>
      <c r="F20" s="52">
        <f t="shared" si="0"/>
        <v>116.28684077844275</v>
      </c>
      <c r="G20" s="52">
        <f t="shared" si="1"/>
        <v>95.648760199923316</v>
      </c>
    </row>
    <row r="21" spans="2:10" ht="15.75" customHeight="1">
      <c r="B21" s="16" t="s">
        <v>63</v>
      </c>
      <c r="C21" s="151">
        <f>C22</f>
        <v>29182.23</v>
      </c>
      <c r="D21" s="151">
        <f>D22</f>
        <v>48984.75</v>
      </c>
      <c r="E21" s="153">
        <f>E22</f>
        <v>48817.45</v>
      </c>
      <c r="F21" s="52">
        <f t="shared" si="0"/>
        <v>167.28485108917312</v>
      </c>
      <c r="G21" s="52">
        <f t="shared" si="1"/>
        <v>99.658465134557176</v>
      </c>
    </row>
    <row r="22" spans="2:10">
      <c r="B22" s="18" t="s">
        <v>184</v>
      </c>
      <c r="C22" s="151">
        <v>29182.23</v>
      </c>
      <c r="D22" s="151">
        <v>48984.75</v>
      </c>
      <c r="E22" s="153">
        <v>48817.45</v>
      </c>
      <c r="F22" s="52">
        <f t="shared" si="0"/>
        <v>167.28485108917312</v>
      </c>
      <c r="G22" s="52">
        <f t="shared" si="1"/>
        <v>99.658465134557176</v>
      </c>
    </row>
    <row r="23" spans="2:10">
      <c r="B23" s="16" t="s">
        <v>67</v>
      </c>
      <c r="C23" s="151">
        <f>C24</f>
        <v>35926.620000000003</v>
      </c>
      <c r="D23" s="152">
        <f>D24</f>
        <v>7061</v>
      </c>
      <c r="E23" s="153">
        <f>E24</f>
        <v>6451.41</v>
      </c>
      <c r="F23" s="52">
        <f t="shared" si="0"/>
        <v>17.957186064260984</v>
      </c>
      <c r="G23" s="52">
        <f t="shared" si="1"/>
        <v>91.366803568899584</v>
      </c>
    </row>
    <row r="24" spans="2:10">
      <c r="B24" s="19" t="s">
        <v>185</v>
      </c>
      <c r="C24" s="151">
        <v>35926.620000000003</v>
      </c>
      <c r="D24" s="152">
        <v>7061</v>
      </c>
      <c r="E24" s="153">
        <v>6451.41</v>
      </c>
      <c r="F24" s="52">
        <f t="shared" si="0"/>
        <v>17.957186064260984</v>
      </c>
      <c r="G24" s="52">
        <f t="shared" si="1"/>
        <v>91.366803568899584</v>
      </c>
    </row>
    <row r="25" spans="2:10">
      <c r="B25" s="16" t="s">
        <v>68</v>
      </c>
      <c r="C25" s="151">
        <f>C26+C28</f>
        <v>112275.3</v>
      </c>
      <c r="D25" s="152">
        <f>D26+D28+D27</f>
        <v>100153</v>
      </c>
      <c r="E25" s="153">
        <f>E26+E28+E27</f>
        <v>99272</v>
      </c>
      <c r="F25" s="52">
        <f t="shared" si="0"/>
        <v>88.418378752940313</v>
      </c>
      <c r="G25" s="52">
        <f t="shared" si="1"/>
        <v>99.120345870817644</v>
      </c>
    </row>
    <row r="26" spans="2:10">
      <c r="B26" s="102" t="s">
        <v>181</v>
      </c>
      <c r="C26" s="151">
        <v>2265.3000000000002</v>
      </c>
      <c r="D26" s="152">
        <v>19153</v>
      </c>
      <c r="E26" s="153">
        <f>18424.57-152.57</f>
        <v>18272</v>
      </c>
      <c r="F26" s="52">
        <f t="shared" si="0"/>
        <v>806.60398181256346</v>
      </c>
      <c r="G26" s="52">
        <f t="shared" si="1"/>
        <v>95.400198402339058</v>
      </c>
    </row>
    <row r="27" spans="2:10" ht="25.5">
      <c r="B27" s="199" t="s">
        <v>228</v>
      </c>
      <c r="C27" s="151">
        <v>0</v>
      </c>
      <c r="D27" s="152">
        <v>0</v>
      </c>
      <c r="E27" s="153">
        <v>0</v>
      </c>
      <c r="F27" s="52"/>
      <c r="G27" s="52"/>
    </row>
    <row r="28" spans="2:10">
      <c r="B28" s="19" t="s">
        <v>182</v>
      </c>
      <c r="C28" s="151">
        <v>110010</v>
      </c>
      <c r="D28" s="152">
        <v>81000</v>
      </c>
      <c r="E28" s="153">
        <v>81000</v>
      </c>
      <c r="F28" s="52">
        <f t="shared" si="0"/>
        <v>73.629670029997271</v>
      </c>
      <c r="G28" s="52">
        <f t="shared" si="1"/>
        <v>100</v>
      </c>
    </row>
    <row r="29" spans="2:10">
      <c r="B29" s="21" t="s">
        <v>72</v>
      </c>
      <c r="C29" s="151">
        <f>C30+C32+C31</f>
        <v>609538.68999999994</v>
      </c>
      <c r="D29" s="152">
        <f>D30+D32+D31</f>
        <v>800518</v>
      </c>
      <c r="E29" s="153">
        <f>E30+E32+E31</f>
        <v>760546.84999999986</v>
      </c>
      <c r="F29" s="52">
        <f t="shared" si="0"/>
        <v>124.7741714311851</v>
      </c>
      <c r="G29" s="52">
        <f t="shared" si="1"/>
        <v>95.006839321539289</v>
      </c>
    </row>
    <row r="30" spans="2:10">
      <c r="B30" s="19" t="s">
        <v>197</v>
      </c>
      <c r="C30" s="151">
        <v>23704.36</v>
      </c>
      <c r="D30" s="152">
        <v>30803</v>
      </c>
      <c r="E30" s="153">
        <v>20819.07</v>
      </c>
      <c r="F30" s="52">
        <f t="shared" si="0"/>
        <v>87.828019824201107</v>
      </c>
      <c r="G30" s="52">
        <f t="shared" si="1"/>
        <v>67.587799889621138</v>
      </c>
    </row>
    <row r="31" spans="2:10">
      <c r="B31" s="166" t="s">
        <v>195</v>
      </c>
      <c r="C31" s="151">
        <v>8868.08</v>
      </c>
      <c r="D31" s="152">
        <v>15762</v>
      </c>
      <c r="E31" s="153">
        <v>15989.09</v>
      </c>
      <c r="F31" s="52">
        <f t="shared" si="0"/>
        <v>180.29934326257771</v>
      </c>
      <c r="G31" s="52">
        <f t="shared" si="1"/>
        <v>101.44074356046187</v>
      </c>
    </row>
    <row r="32" spans="2:10">
      <c r="B32" s="19" t="s">
        <v>196</v>
      </c>
      <c r="C32" s="151">
        <v>576966.25</v>
      </c>
      <c r="D32" s="152">
        <v>753953</v>
      </c>
      <c r="E32" s="153">
        <f>723586.12+152.57</f>
        <v>723738.69</v>
      </c>
      <c r="F32" s="52">
        <f t="shared" si="0"/>
        <v>125.43865260749654</v>
      </c>
      <c r="G32" s="52">
        <f t="shared" si="1"/>
        <v>95.992547280798675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G11"/>
  <sheetViews>
    <sheetView zoomScaleNormal="100" workbookViewId="0">
      <selection activeCell="E11" sqref="E11"/>
    </sheetView>
  </sheetViews>
  <sheetFormatPr defaultRowHeight="12.7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14"/>
      <c r="F1" s="14"/>
      <c r="G1" s="14"/>
    </row>
    <row r="2" spans="2:7" ht="15.75" customHeight="1">
      <c r="B2" s="313" t="s">
        <v>76</v>
      </c>
      <c r="C2" s="313"/>
      <c r="D2" s="313"/>
      <c r="E2" s="313"/>
      <c r="F2" s="313"/>
      <c r="G2" s="313"/>
    </row>
    <row r="3" spans="2:7" ht="18">
      <c r="B3" s="13"/>
      <c r="C3" s="13"/>
      <c r="D3" s="13"/>
      <c r="E3" s="14"/>
      <c r="F3" s="14"/>
      <c r="G3" s="14"/>
    </row>
    <row r="4" spans="2:7" ht="25.5">
      <c r="B4" s="15" t="s">
        <v>61</v>
      </c>
      <c r="C4" s="15" t="s">
        <v>172</v>
      </c>
      <c r="D4" s="223" t="s">
        <v>235</v>
      </c>
      <c r="E4" s="223" t="s">
        <v>239</v>
      </c>
      <c r="F4" s="15" t="s">
        <v>62</v>
      </c>
      <c r="G4" s="15" t="s">
        <v>62</v>
      </c>
    </row>
    <row r="5" spans="2:7"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</row>
    <row r="6" spans="2:7" ht="15.75" customHeight="1">
      <c r="B6" s="16" t="s">
        <v>46</v>
      </c>
      <c r="C6" s="209">
        <f>C7</f>
        <v>786922.84000000008</v>
      </c>
      <c r="D6" s="209">
        <f>D7</f>
        <v>956563.75</v>
      </c>
      <c r="E6" s="210">
        <f>E7</f>
        <v>914935.14</v>
      </c>
      <c r="F6" s="57">
        <f t="shared" ref="F6" si="0">E6/C6*100</f>
        <v>116.26745260056246</v>
      </c>
      <c r="G6" s="57">
        <f t="shared" ref="G6" si="1">E6/D6*100</f>
        <v>95.648109182477384</v>
      </c>
    </row>
    <row r="7" spans="2:7" ht="15.75" customHeight="1">
      <c r="B7" s="16" t="s">
        <v>79</v>
      </c>
      <c r="C7" s="101">
        <f>C8+C10+C11</f>
        <v>786922.84000000008</v>
      </c>
      <c r="D7" s="101">
        <f>D8+D10</f>
        <v>956563.75</v>
      </c>
      <c r="E7" s="143">
        <f>E8+E10</f>
        <v>914935.14</v>
      </c>
      <c r="F7" s="57">
        <f t="shared" ref="F7:F10" si="2">E7/C7*100</f>
        <v>116.26745260056246</v>
      </c>
      <c r="G7" s="57">
        <f t="shared" ref="G7:G10" si="3">E7/D7*100</f>
        <v>95.648109182477384</v>
      </c>
    </row>
    <row r="8" spans="2:7">
      <c r="B8" s="22" t="s">
        <v>142</v>
      </c>
      <c r="C8" s="110">
        <f>C9</f>
        <v>692568.65</v>
      </c>
      <c r="D8" s="101">
        <f>D9</f>
        <v>846949.75</v>
      </c>
      <c r="E8" s="143">
        <f>E9</f>
        <v>815580.62</v>
      </c>
      <c r="F8" s="57">
        <f t="shared" si="2"/>
        <v>117.76170059098112</v>
      </c>
      <c r="G8" s="57">
        <f t="shared" si="3"/>
        <v>96.296223004965768</v>
      </c>
    </row>
    <row r="9" spans="2:7">
      <c r="B9" s="23" t="s">
        <v>80</v>
      </c>
      <c r="C9" s="101">
        <v>692568.65</v>
      </c>
      <c r="D9" s="101">
        <f>956716.75-D10-153</f>
        <v>846949.75</v>
      </c>
      <c r="E9" s="143">
        <f>915087.71-E10-152.57</f>
        <v>815580.62</v>
      </c>
      <c r="F9" s="57">
        <f t="shared" si="2"/>
        <v>117.76170059098112</v>
      </c>
      <c r="G9" s="57">
        <f t="shared" si="3"/>
        <v>96.296223004965768</v>
      </c>
    </row>
    <row r="10" spans="2:7">
      <c r="B10" s="16" t="s">
        <v>81</v>
      </c>
      <c r="C10" s="101">
        <v>94354.19</v>
      </c>
      <c r="D10" s="101">
        <f>65900+7061+16500+20000+153</f>
        <v>109614</v>
      </c>
      <c r="E10" s="143">
        <v>99354.52</v>
      </c>
      <c r="F10" s="57">
        <f t="shared" si="2"/>
        <v>105.29953147814632</v>
      </c>
      <c r="G10" s="57">
        <f t="shared" si="3"/>
        <v>90.640356158884813</v>
      </c>
    </row>
    <row r="11" spans="2:7" ht="25.5">
      <c r="B11" s="16" t="s">
        <v>198</v>
      </c>
      <c r="C11" s="101">
        <v>0</v>
      </c>
      <c r="D11" s="101">
        <v>0</v>
      </c>
      <c r="E11" s="228">
        <v>0</v>
      </c>
      <c r="F11" s="57"/>
      <c r="G11" s="57"/>
    </row>
  </sheetData>
  <mergeCells count="1">
    <mergeCell ref="B2:G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ignoredErrors>
    <ignoredError sqref="E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zoomScaleNormal="100" workbookViewId="0">
      <selection activeCell="C24" sqref="C24"/>
    </sheetView>
  </sheetViews>
  <sheetFormatPr defaultRowHeight="12.75"/>
  <cols>
    <col min="1" max="1" width="6.28515625" customWidth="1"/>
    <col min="2" max="2" width="6.7109375" customWidth="1"/>
    <col min="3" max="3" width="6.42578125" customWidth="1"/>
    <col min="4" max="4" width="7.28515625" customWidth="1"/>
    <col min="5" max="5" width="42.85546875" customWidth="1"/>
    <col min="6" max="6" width="14" customWidth="1"/>
    <col min="7" max="7" width="20.7109375" customWidth="1"/>
    <col min="8" max="8" width="13.85546875" customWidth="1"/>
    <col min="9" max="10" width="15.5703125" customWidth="1"/>
  </cols>
  <sheetData>
    <row r="1" spans="1:10" ht="20.100000000000001" customHeight="1">
      <c r="A1" s="313" t="s">
        <v>143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20.100000000000001" customHeight="1">
      <c r="A2" s="313" t="s">
        <v>144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0" ht="20.100000000000001" customHeight="1">
      <c r="A3" s="13"/>
      <c r="B3" s="13"/>
      <c r="C3" s="13"/>
      <c r="D3" s="13"/>
      <c r="E3" s="13"/>
      <c r="F3" s="13"/>
      <c r="G3" s="13"/>
      <c r="H3" s="14"/>
      <c r="I3" s="14"/>
      <c r="J3" s="14"/>
    </row>
    <row r="4" spans="1:10" ht="43.5" customHeight="1">
      <c r="A4" s="315" t="s">
        <v>61</v>
      </c>
      <c r="B4" s="316"/>
      <c r="C4" s="316"/>
      <c r="D4" s="316"/>
      <c r="E4" s="317"/>
      <c r="F4" s="98" t="s">
        <v>171</v>
      </c>
      <c r="G4" s="15" t="s">
        <v>235</v>
      </c>
      <c r="H4" s="98" t="s">
        <v>234</v>
      </c>
      <c r="I4" s="98" t="s">
        <v>62</v>
      </c>
      <c r="J4" s="98" t="s">
        <v>62</v>
      </c>
    </row>
    <row r="5" spans="1:10" ht="20.100000000000001" customHeight="1">
      <c r="A5" s="315">
        <v>1</v>
      </c>
      <c r="B5" s="316"/>
      <c r="C5" s="316"/>
      <c r="D5" s="316"/>
      <c r="E5" s="317"/>
      <c r="F5" s="98">
        <v>2</v>
      </c>
      <c r="G5" s="98">
        <v>3</v>
      </c>
      <c r="H5" s="98">
        <v>4</v>
      </c>
      <c r="I5" s="98">
        <v>5</v>
      </c>
      <c r="J5" s="98">
        <v>6</v>
      </c>
    </row>
    <row r="6" spans="1:10" ht="24.95" customHeight="1">
      <c r="A6" s="16">
        <v>8</v>
      </c>
      <c r="B6" s="16"/>
      <c r="C6" s="16"/>
      <c r="D6" s="16"/>
      <c r="E6" s="16" t="s">
        <v>145</v>
      </c>
      <c r="F6" s="209">
        <v>0</v>
      </c>
      <c r="G6" s="211">
        <v>0</v>
      </c>
      <c r="H6" s="212">
        <v>0</v>
      </c>
      <c r="I6" s="53">
        <v>0</v>
      </c>
      <c r="J6" s="53">
        <v>0</v>
      </c>
    </row>
    <row r="7" spans="1:10" ht="24.95" customHeight="1">
      <c r="A7" s="16"/>
      <c r="B7" s="113">
        <v>84</v>
      </c>
      <c r="C7" s="113"/>
      <c r="D7" s="113"/>
      <c r="E7" s="113" t="s">
        <v>146</v>
      </c>
      <c r="F7" s="101">
        <v>0</v>
      </c>
      <c r="G7" s="17">
        <v>0</v>
      </c>
      <c r="H7" s="119">
        <v>0</v>
      </c>
      <c r="I7" s="53">
        <v>0</v>
      </c>
      <c r="J7" s="53">
        <v>0</v>
      </c>
    </row>
    <row r="8" spans="1:10" ht="24.95" customHeight="1">
      <c r="A8" s="114"/>
      <c r="B8" s="114"/>
      <c r="C8" s="114">
        <v>841</v>
      </c>
      <c r="D8" s="114"/>
      <c r="E8" s="115" t="s">
        <v>147</v>
      </c>
      <c r="F8" s="101">
        <v>0</v>
      </c>
      <c r="G8" s="17">
        <v>0</v>
      </c>
      <c r="H8" s="119">
        <v>0</v>
      </c>
      <c r="I8" s="53">
        <v>0</v>
      </c>
      <c r="J8" s="53">
        <v>0</v>
      </c>
    </row>
    <row r="9" spans="1:10" ht="24.95" customHeight="1">
      <c r="A9" s="114"/>
      <c r="B9" s="114"/>
      <c r="C9" s="114"/>
      <c r="D9" s="114">
        <v>8413</v>
      </c>
      <c r="E9" s="115" t="s">
        <v>148</v>
      </c>
      <c r="F9" s="101">
        <v>0</v>
      </c>
      <c r="G9" s="17">
        <v>0</v>
      </c>
      <c r="H9" s="119">
        <v>0</v>
      </c>
      <c r="I9" s="53">
        <v>0</v>
      </c>
      <c r="J9" s="53">
        <v>0</v>
      </c>
    </row>
    <row r="10" spans="1:10" ht="24.95" customHeight="1">
      <c r="A10" s="116">
        <v>5</v>
      </c>
      <c r="B10" s="116"/>
      <c r="C10" s="116"/>
      <c r="D10" s="116"/>
      <c r="E10" s="117" t="s">
        <v>149</v>
      </c>
      <c r="F10" s="209">
        <v>0</v>
      </c>
      <c r="G10" s="211">
        <v>0</v>
      </c>
      <c r="H10" s="212">
        <v>0</v>
      </c>
      <c r="I10" s="53">
        <v>0</v>
      </c>
      <c r="J10" s="53">
        <v>0</v>
      </c>
    </row>
    <row r="11" spans="1:10" ht="24.95" customHeight="1">
      <c r="A11" s="113"/>
      <c r="B11" s="113">
        <v>54</v>
      </c>
      <c r="C11" s="113"/>
      <c r="D11" s="113"/>
      <c r="E11" s="118" t="s">
        <v>150</v>
      </c>
      <c r="F11" s="101">
        <v>0</v>
      </c>
      <c r="G11" s="17">
        <v>0</v>
      </c>
      <c r="H11" s="119">
        <v>0</v>
      </c>
      <c r="I11" s="53">
        <v>0</v>
      </c>
      <c r="J11" s="53">
        <v>0</v>
      </c>
    </row>
    <row r="12" spans="1:10" ht="24.95" customHeight="1">
      <c r="A12" s="113"/>
      <c r="B12" s="113"/>
      <c r="C12" s="113">
        <v>541</v>
      </c>
      <c r="D12" s="115"/>
      <c r="E12" s="115" t="s">
        <v>151</v>
      </c>
      <c r="F12" s="101">
        <v>0</v>
      </c>
      <c r="G12" s="17">
        <v>0</v>
      </c>
      <c r="H12" s="119">
        <v>0</v>
      </c>
      <c r="I12" s="53">
        <v>0</v>
      </c>
      <c r="J12" s="53">
        <v>0</v>
      </c>
    </row>
    <row r="13" spans="1:10" ht="24.95" customHeight="1">
      <c r="A13" s="113"/>
      <c r="B13" s="113"/>
      <c r="C13" s="113"/>
      <c r="D13" s="115">
        <v>5413</v>
      </c>
      <c r="E13" s="115" t="s">
        <v>152</v>
      </c>
      <c r="F13" s="101">
        <v>0</v>
      </c>
      <c r="G13" s="17">
        <v>0</v>
      </c>
      <c r="H13" s="119">
        <v>0</v>
      </c>
      <c r="I13" s="53">
        <v>0</v>
      </c>
      <c r="J13" s="53">
        <v>0</v>
      </c>
    </row>
  </sheetData>
  <mergeCells count="4">
    <mergeCell ref="A1:J1"/>
    <mergeCell ref="A2:J2"/>
    <mergeCell ref="A4:E4"/>
    <mergeCell ref="A5:E5"/>
  </mergeCell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6"/>
  <sheetViews>
    <sheetView zoomScaleNormal="100" workbookViewId="0">
      <selection activeCell="F22" sqref="F22"/>
    </sheetView>
  </sheetViews>
  <sheetFormatPr defaultRowHeight="12.75"/>
  <cols>
    <col min="2" max="2" width="30.140625" customWidth="1"/>
    <col min="3" max="5" width="25.7109375" customWidth="1"/>
    <col min="6" max="6" width="16.5703125" customWidth="1"/>
    <col min="7" max="7" width="17.140625" customWidth="1"/>
  </cols>
  <sheetData>
    <row r="1" spans="2:7" ht="20.100000000000001" customHeight="1">
      <c r="B1" s="13"/>
      <c r="C1" s="13"/>
      <c r="D1" s="13"/>
      <c r="E1" s="14"/>
      <c r="F1" s="14"/>
      <c r="G1" s="14"/>
    </row>
    <row r="2" spans="2:7" ht="20.100000000000001" customHeight="1">
      <c r="B2" s="313" t="s">
        <v>153</v>
      </c>
      <c r="C2" s="313"/>
      <c r="D2" s="313"/>
      <c r="E2" s="313"/>
      <c r="F2" s="313"/>
      <c r="G2" s="313"/>
    </row>
    <row r="3" spans="2:7" ht="20.100000000000001" customHeight="1">
      <c r="B3" s="13"/>
      <c r="C3" s="13"/>
      <c r="D3" s="13"/>
      <c r="E3" s="14"/>
      <c r="F3" s="14"/>
      <c r="G3" s="14"/>
    </row>
    <row r="4" spans="2:7" ht="36.75" customHeight="1">
      <c r="B4" s="15" t="s">
        <v>61</v>
      </c>
      <c r="C4" s="15" t="s">
        <v>170</v>
      </c>
      <c r="D4" s="15" t="s">
        <v>235</v>
      </c>
      <c r="E4" s="15" t="s">
        <v>236</v>
      </c>
      <c r="F4" s="15" t="s">
        <v>62</v>
      </c>
      <c r="G4" s="15" t="s">
        <v>62</v>
      </c>
    </row>
    <row r="5" spans="2:7" ht="20.100000000000001" customHeight="1"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</row>
    <row r="6" spans="2:7" ht="20.100000000000001" customHeight="1">
      <c r="B6" s="16" t="s">
        <v>154</v>
      </c>
      <c r="C6" s="209">
        <v>0</v>
      </c>
      <c r="D6" s="211">
        <v>0</v>
      </c>
      <c r="E6" s="212">
        <v>0</v>
      </c>
      <c r="F6" s="53">
        <v>0</v>
      </c>
      <c r="G6" s="53">
        <v>0</v>
      </c>
    </row>
    <row r="7" spans="2:7" ht="20.100000000000001" customHeight="1">
      <c r="B7" s="16" t="s">
        <v>63</v>
      </c>
      <c r="C7" s="101">
        <v>0</v>
      </c>
      <c r="D7" s="17">
        <v>0</v>
      </c>
      <c r="E7" s="119">
        <v>0</v>
      </c>
      <c r="F7" s="53">
        <v>0</v>
      </c>
      <c r="G7" s="53">
        <v>0</v>
      </c>
    </row>
    <row r="8" spans="2:7" ht="20.100000000000001" customHeight="1">
      <c r="B8" s="18" t="s">
        <v>64</v>
      </c>
      <c r="C8" s="101">
        <v>0</v>
      </c>
      <c r="D8" s="17">
        <v>0</v>
      </c>
      <c r="E8" s="119">
        <v>0</v>
      </c>
      <c r="F8" s="53">
        <v>0</v>
      </c>
      <c r="G8" s="53">
        <v>0</v>
      </c>
    </row>
    <row r="9" spans="2:7" ht="20.100000000000001" customHeight="1">
      <c r="B9" s="16" t="s">
        <v>65</v>
      </c>
      <c r="C9" s="101">
        <v>0</v>
      </c>
      <c r="D9" s="17">
        <v>0</v>
      </c>
      <c r="E9" s="119">
        <v>0</v>
      </c>
      <c r="F9" s="53">
        <v>0</v>
      </c>
      <c r="G9" s="53">
        <v>0</v>
      </c>
    </row>
    <row r="10" spans="2:7" ht="24" customHeight="1">
      <c r="B10" s="19" t="s">
        <v>66</v>
      </c>
      <c r="C10" s="101">
        <v>0</v>
      </c>
      <c r="D10" s="17">
        <v>0</v>
      </c>
      <c r="E10" s="119">
        <v>0</v>
      </c>
      <c r="F10" s="53">
        <v>0</v>
      </c>
      <c r="G10" s="53">
        <v>0</v>
      </c>
    </row>
    <row r="11" spans="2:7" ht="20.100000000000001" customHeight="1">
      <c r="B11" s="16" t="s">
        <v>67</v>
      </c>
      <c r="C11" s="101">
        <v>0</v>
      </c>
      <c r="D11" s="17">
        <v>0</v>
      </c>
      <c r="E11" s="119">
        <v>0</v>
      </c>
      <c r="F11" s="53">
        <v>0</v>
      </c>
      <c r="G11" s="53">
        <v>0</v>
      </c>
    </row>
    <row r="12" spans="2:7" ht="26.25" customHeight="1">
      <c r="B12" s="19" t="s">
        <v>71</v>
      </c>
      <c r="C12" s="101">
        <v>0</v>
      </c>
      <c r="D12" s="17">
        <v>0</v>
      </c>
      <c r="E12" s="119">
        <v>0</v>
      </c>
      <c r="F12" s="53">
        <v>0</v>
      </c>
      <c r="G12" s="53">
        <v>0</v>
      </c>
    </row>
    <row r="13" spans="2:7" ht="20.100000000000001" customHeight="1">
      <c r="B13" s="16" t="s">
        <v>68</v>
      </c>
      <c r="C13" s="101">
        <v>0</v>
      </c>
      <c r="D13" s="17">
        <v>0</v>
      </c>
      <c r="E13" s="119">
        <v>0</v>
      </c>
      <c r="F13" s="53">
        <v>0</v>
      </c>
      <c r="G13" s="53">
        <v>0</v>
      </c>
    </row>
    <row r="14" spans="2:7" ht="20.100000000000001" customHeight="1">
      <c r="B14" s="102" t="s">
        <v>70</v>
      </c>
      <c r="C14" s="101">
        <v>0</v>
      </c>
      <c r="D14" s="17">
        <v>0</v>
      </c>
      <c r="E14" s="119">
        <v>0</v>
      </c>
      <c r="F14" s="53">
        <v>0</v>
      </c>
      <c r="G14" s="53">
        <v>0</v>
      </c>
    </row>
    <row r="15" spans="2:7" ht="20.100000000000001" customHeight="1">
      <c r="B15" s="19" t="s">
        <v>69</v>
      </c>
      <c r="C15" s="101">
        <v>0</v>
      </c>
      <c r="D15" s="17">
        <v>0</v>
      </c>
      <c r="E15" s="119">
        <v>0</v>
      </c>
      <c r="F15" s="53">
        <v>0</v>
      </c>
      <c r="G15" s="53">
        <v>0</v>
      </c>
    </row>
    <row r="16" spans="2:7" ht="20.100000000000001" customHeight="1">
      <c r="B16" s="21" t="s">
        <v>72</v>
      </c>
      <c r="C16" s="101">
        <v>0</v>
      </c>
      <c r="D16" s="17">
        <v>0</v>
      </c>
      <c r="E16" s="119">
        <v>0</v>
      </c>
      <c r="F16" s="53">
        <v>0</v>
      </c>
      <c r="G16" s="53">
        <v>0</v>
      </c>
    </row>
    <row r="17" spans="2:7" ht="24.75" customHeight="1">
      <c r="B17" s="121" t="s">
        <v>141</v>
      </c>
      <c r="C17" s="101">
        <v>0</v>
      </c>
      <c r="D17" s="17">
        <v>0</v>
      </c>
      <c r="E17" s="119">
        <v>0</v>
      </c>
      <c r="F17" s="53">
        <v>0</v>
      </c>
      <c r="G17" s="53">
        <v>0</v>
      </c>
    </row>
    <row r="18" spans="2:7" ht="20.100000000000001" customHeight="1">
      <c r="B18" s="19" t="s">
        <v>73</v>
      </c>
      <c r="C18" s="101">
        <v>0</v>
      </c>
      <c r="D18" s="17">
        <v>0</v>
      </c>
      <c r="E18" s="119">
        <v>0</v>
      </c>
      <c r="F18" s="53">
        <v>0</v>
      </c>
      <c r="G18" s="53">
        <v>0</v>
      </c>
    </row>
    <row r="19" spans="2:7" ht="20.100000000000001" customHeight="1">
      <c r="B19" s="21" t="s">
        <v>74</v>
      </c>
      <c r="C19" s="101">
        <v>0</v>
      </c>
      <c r="D19" s="17">
        <v>0</v>
      </c>
      <c r="E19" s="119">
        <v>0</v>
      </c>
      <c r="F19" s="53">
        <v>0</v>
      </c>
      <c r="G19" s="53">
        <v>0</v>
      </c>
    </row>
    <row r="20" spans="2:7" ht="20.100000000000001" customHeight="1">
      <c r="B20" s="19" t="s">
        <v>75</v>
      </c>
      <c r="C20" s="101">
        <v>0</v>
      </c>
      <c r="D20" s="17">
        <v>0</v>
      </c>
      <c r="E20" s="119">
        <v>0</v>
      </c>
      <c r="F20" s="53">
        <v>0</v>
      </c>
      <c r="G20" s="53">
        <v>0</v>
      </c>
    </row>
    <row r="21" spans="2:7" ht="21.75" customHeight="1">
      <c r="B21" s="120"/>
      <c r="C21" s="101"/>
      <c r="D21" s="17"/>
      <c r="E21" s="119"/>
      <c r="F21" s="53"/>
      <c r="G21" s="53"/>
    </row>
    <row r="22" spans="2:7" ht="20.100000000000001" customHeight="1">
      <c r="B22" s="122" t="s">
        <v>155</v>
      </c>
      <c r="C22" s="209">
        <v>0</v>
      </c>
      <c r="D22" s="211">
        <v>0</v>
      </c>
      <c r="E22" s="212">
        <v>0</v>
      </c>
      <c r="F22" s="53">
        <v>0</v>
      </c>
      <c r="G22" s="53">
        <v>0</v>
      </c>
    </row>
    <row r="23" spans="2:7" ht="20.100000000000001" customHeight="1">
      <c r="B23" s="16" t="s">
        <v>63</v>
      </c>
      <c r="C23" s="101">
        <v>0</v>
      </c>
      <c r="D23" s="17">
        <v>0</v>
      </c>
      <c r="E23" s="119">
        <v>0</v>
      </c>
      <c r="F23" s="53">
        <v>0</v>
      </c>
      <c r="G23" s="53">
        <v>0</v>
      </c>
    </row>
    <row r="24" spans="2:7" ht="20.100000000000001" customHeight="1">
      <c r="B24" s="18" t="s">
        <v>64</v>
      </c>
      <c r="C24" s="101">
        <v>0</v>
      </c>
      <c r="D24" s="17">
        <v>0</v>
      </c>
      <c r="E24" s="119">
        <v>0</v>
      </c>
      <c r="F24" s="53">
        <v>0</v>
      </c>
      <c r="G24" s="53">
        <v>0</v>
      </c>
    </row>
    <row r="25" spans="2:7" ht="20.100000000000001" customHeight="1">
      <c r="B25" s="16" t="s">
        <v>65</v>
      </c>
      <c r="C25" s="101">
        <v>0</v>
      </c>
      <c r="D25" s="17">
        <v>0</v>
      </c>
      <c r="E25" s="119">
        <v>0</v>
      </c>
      <c r="F25" s="53">
        <v>0</v>
      </c>
      <c r="G25" s="53">
        <v>0</v>
      </c>
    </row>
    <row r="26" spans="2:7" ht="20.100000000000001" customHeight="1">
      <c r="B26" s="19" t="s">
        <v>66</v>
      </c>
      <c r="C26" s="101">
        <v>0</v>
      </c>
      <c r="D26" s="17">
        <v>0</v>
      </c>
      <c r="E26" s="119">
        <v>0</v>
      </c>
      <c r="F26" s="53">
        <v>0</v>
      </c>
      <c r="G26" s="53">
        <v>0</v>
      </c>
    </row>
    <row r="27" spans="2:7" ht="20.100000000000001" customHeight="1">
      <c r="B27" s="16" t="s">
        <v>67</v>
      </c>
      <c r="C27" s="101">
        <v>0</v>
      </c>
      <c r="D27" s="17">
        <v>0</v>
      </c>
      <c r="E27" s="119">
        <v>0</v>
      </c>
      <c r="F27" s="53">
        <v>0</v>
      </c>
      <c r="G27" s="53">
        <v>0</v>
      </c>
    </row>
    <row r="28" spans="2:7" ht="25.5">
      <c r="B28" s="19" t="s">
        <v>71</v>
      </c>
      <c r="C28" s="101">
        <v>0</v>
      </c>
      <c r="D28" s="17">
        <v>0</v>
      </c>
      <c r="E28" s="119">
        <v>0</v>
      </c>
      <c r="F28" s="53">
        <v>0</v>
      </c>
      <c r="G28" s="53">
        <v>0</v>
      </c>
    </row>
    <row r="29" spans="2:7">
      <c r="B29" s="16" t="s">
        <v>68</v>
      </c>
      <c r="C29" s="101">
        <v>0</v>
      </c>
      <c r="D29" s="17">
        <v>0</v>
      </c>
      <c r="E29" s="119">
        <v>0</v>
      </c>
      <c r="F29" s="53">
        <v>0</v>
      </c>
      <c r="G29" s="53">
        <v>0</v>
      </c>
    </row>
    <row r="30" spans="2:7">
      <c r="B30" s="102" t="s">
        <v>70</v>
      </c>
      <c r="C30" s="101">
        <v>0</v>
      </c>
      <c r="D30" s="17">
        <v>0</v>
      </c>
      <c r="E30" s="119">
        <v>0</v>
      </c>
      <c r="F30" s="53">
        <v>0</v>
      </c>
      <c r="G30" s="53">
        <v>0</v>
      </c>
    </row>
    <row r="31" spans="2:7">
      <c r="B31" s="19" t="s">
        <v>69</v>
      </c>
      <c r="C31" s="101">
        <v>0</v>
      </c>
      <c r="D31" s="17">
        <v>0</v>
      </c>
      <c r="E31" s="119">
        <v>0</v>
      </c>
      <c r="F31" s="53">
        <v>0</v>
      </c>
      <c r="G31" s="53">
        <v>0</v>
      </c>
    </row>
    <row r="32" spans="2:7">
      <c r="B32" s="21" t="s">
        <v>72</v>
      </c>
      <c r="C32" s="101">
        <v>0</v>
      </c>
      <c r="D32" s="17">
        <v>0</v>
      </c>
      <c r="E32" s="119">
        <v>0</v>
      </c>
      <c r="F32" s="53">
        <v>0</v>
      </c>
      <c r="G32" s="53">
        <v>0</v>
      </c>
    </row>
    <row r="33" spans="2:7" ht="25.5">
      <c r="B33" s="121" t="s">
        <v>141</v>
      </c>
      <c r="C33" s="101">
        <v>0</v>
      </c>
      <c r="D33" s="17">
        <v>0</v>
      </c>
      <c r="E33" s="119">
        <v>0</v>
      </c>
      <c r="F33" s="53">
        <v>0</v>
      </c>
      <c r="G33" s="53">
        <v>0</v>
      </c>
    </row>
    <row r="34" spans="2:7">
      <c r="B34" s="19" t="s">
        <v>73</v>
      </c>
      <c r="C34" s="101">
        <v>0</v>
      </c>
      <c r="D34" s="17">
        <v>0</v>
      </c>
      <c r="E34" s="119">
        <v>0</v>
      </c>
      <c r="F34" s="53">
        <v>0</v>
      </c>
      <c r="G34" s="53">
        <v>0</v>
      </c>
    </row>
    <row r="35" spans="2:7">
      <c r="B35" s="21" t="s">
        <v>74</v>
      </c>
      <c r="C35" s="101">
        <v>0</v>
      </c>
      <c r="D35" s="17">
        <v>0</v>
      </c>
      <c r="E35" s="119">
        <v>0</v>
      </c>
      <c r="F35" s="53">
        <v>0</v>
      </c>
      <c r="G35" s="53">
        <v>0</v>
      </c>
    </row>
    <row r="36" spans="2:7">
      <c r="B36" s="19" t="s">
        <v>75</v>
      </c>
      <c r="C36" s="101">
        <v>0</v>
      </c>
      <c r="D36" s="17">
        <v>0</v>
      </c>
      <c r="E36" s="119">
        <v>0</v>
      </c>
      <c r="F36" s="53">
        <v>0</v>
      </c>
      <c r="G36" s="53">
        <v>0</v>
      </c>
    </row>
  </sheetData>
  <mergeCells count="1">
    <mergeCell ref="B2:G2"/>
  </mergeCells>
  <pageMargins left="0.7" right="0.7" top="0.75" bottom="0.75" header="0.3" footer="0.3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B1:K249"/>
  <sheetViews>
    <sheetView zoomScaleNormal="100" workbookViewId="0">
      <selection activeCell="T205" sqref="T205"/>
    </sheetView>
  </sheetViews>
  <sheetFormatPr defaultRowHeight="12.75"/>
  <cols>
    <col min="2" max="2" width="10.140625" bestFit="1" customWidth="1"/>
    <col min="3" max="3" width="8.42578125" bestFit="1" customWidth="1"/>
    <col min="4" max="4" width="20.140625" customWidth="1"/>
    <col min="5" max="5" width="47.85546875" customWidth="1"/>
    <col min="6" max="7" width="25.28515625" customWidth="1"/>
    <col min="8" max="8" width="15.7109375" customWidth="1"/>
    <col min="10" max="10" width="10.140625" bestFit="1" customWidth="1"/>
  </cols>
  <sheetData>
    <row r="1" spans="2:8" ht="18">
      <c r="B1" s="13"/>
      <c r="C1" s="13"/>
      <c r="D1" s="13"/>
      <c r="E1" s="13"/>
      <c r="F1" s="13"/>
      <c r="G1" s="13"/>
      <c r="H1" s="14"/>
    </row>
    <row r="2" spans="2:8" ht="18" customHeight="1">
      <c r="B2" s="313" t="s">
        <v>77</v>
      </c>
      <c r="C2" s="324"/>
      <c r="D2" s="324"/>
      <c r="E2" s="324"/>
      <c r="F2" s="324"/>
      <c r="G2" s="324"/>
      <c r="H2" s="324"/>
    </row>
    <row r="3" spans="2:8" ht="18">
      <c r="B3" s="13"/>
      <c r="C3" s="13"/>
      <c r="D3" s="13"/>
      <c r="E3" s="13"/>
      <c r="F3" s="13"/>
      <c r="G3" s="13"/>
      <c r="H3" s="14"/>
    </row>
    <row r="4" spans="2:8" ht="15.75">
      <c r="B4" s="325" t="s">
        <v>78</v>
      </c>
      <c r="C4" s="325"/>
      <c r="D4" s="325"/>
      <c r="E4" s="325"/>
      <c r="F4" s="325"/>
      <c r="G4" s="325"/>
      <c r="H4" s="325"/>
    </row>
    <row r="5" spans="2:8" ht="18">
      <c r="B5" s="13"/>
      <c r="C5" s="13"/>
      <c r="D5" s="13"/>
      <c r="E5" s="13"/>
      <c r="F5" s="13"/>
      <c r="G5" s="13"/>
      <c r="H5" s="14"/>
    </row>
    <row r="6" spans="2:8" ht="25.5">
      <c r="B6" s="315" t="s">
        <v>61</v>
      </c>
      <c r="C6" s="316"/>
      <c r="D6" s="316"/>
      <c r="E6" s="317"/>
      <c r="F6" s="15" t="s">
        <v>235</v>
      </c>
      <c r="G6" s="213" t="s">
        <v>244</v>
      </c>
      <c r="H6" s="15" t="s">
        <v>62</v>
      </c>
    </row>
    <row r="7" spans="2:8" s="24" customFormat="1" ht="15.75" customHeight="1" thickBot="1">
      <c r="B7" s="326">
        <v>1</v>
      </c>
      <c r="C7" s="327"/>
      <c r="D7" s="327"/>
      <c r="E7" s="328"/>
      <c r="F7" s="181">
        <v>2</v>
      </c>
      <c r="G7" s="181">
        <v>3</v>
      </c>
      <c r="H7" s="181">
        <v>4</v>
      </c>
    </row>
    <row r="8" spans="2:8" s="24" customFormat="1" ht="15.75" customHeight="1" thickBot="1">
      <c r="B8" s="183" t="s">
        <v>164</v>
      </c>
      <c r="C8" s="184" t="s">
        <v>220</v>
      </c>
      <c r="D8" s="184" t="s">
        <v>222</v>
      </c>
      <c r="E8" s="185" t="s">
        <v>221</v>
      </c>
      <c r="F8" s="178">
        <f>SUM(F9:F18)</f>
        <v>956716.75</v>
      </c>
      <c r="G8" s="178">
        <f>SUM(G9:G18)</f>
        <v>915087.71</v>
      </c>
      <c r="H8" s="237">
        <f>G8/F8*100</f>
        <v>95.648760199923331</v>
      </c>
    </row>
    <row r="9" spans="2:8" s="27" customFormat="1" ht="30" customHeight="1">
      <c r="B9" s="201" t="s">
        <v>84</v>
      </c>
      <c r="C9" s="14"/>
      <c r="D9" s="202"/>
      <c r="E9" s="182" t="s">
        <v>202</v>
      </c>
      <c r="F9" s="190">
        <v>48984.75</v>
      </c>
      <c r="G9" s="191">
        <v>48817.45</v>
      </c>
      <c r="H9" s="251">
        <f t="shared" ref="H9:H72" si="0">G9/F9*100</f>
        <v>99.658465134557176</v>
      </c>
    </row>
    <row r="10" spans="2:8" s="27" customFormat="1" ht="30" customHeight="1">
      <c r="B10" s="192" t="s">
        <v>211</v>
      </c>
      <c r="C10" s="193"/>
      <c r="D10" s="194"/>
      <c r="E10" s="28" t="s">
        <v>212</v>
      </c>
      <c r="F10" s="27">
        <v>7061</v>
      </c>
      <c r="G10" s="195">
        <v>6451.41</v>
      </c>
      <c r="H10" s="252">
        <f t="shared" si="0"/>
        <v>91.366803568899584</v>
      </c>
    </row>
    <row r="11" spans="2:8" s="27" customFormat="1" ht="30" customHeight="1">
      <c r="B11" s="196" t="s">
        <v>95</v>
      </c>
      <c r="C11" s="193"/>
      <c r="D11" s="194"/>
      <c r="E11" s="28" t="s">
        <v>96</v>
      </c>
      <c r="F11" s="197">
        <v>19153</v>
      </c>
      <c r="G11" s="238">
        <v>18424.57</v>
      </c>
      <c r="H11" s="252">
        <f t="shared" si="0"/>
        <v>96.196783793661567</v>
      </c>
    </row>
    <row r="12" spans="2:8" s="27" customFormat="1" ht="30" customHeight="1">
      <c r="B12" s="196" t="s">
        <v>213</v>
      </c>
      <c r="C12" s="193"/>
      <c r="D12" s="194"/>
      <c r="E12" s="31" t="s">
        <v>214</v>
      </c>
      <c r="F12" s="197">
        <v>0</v>
      </c>
      <c r="G12" s="238">
        <f>0</f>
        <v>0</v>
      </c>
      <c r="H12" s="252"/>
    </row>
    <row r="13" spans="2:8" s="27" customFormat="1" ht="30" customHeight="1">
      <c r="B13" s="192" t="s">
        <v>86</v>
      </c>
      <c r="C13" s="193"/>
      <c r="D13" s="194"/>
      <c r="E13" s="31" t="s">
        <v>88</v>
      </c>
      <c r="F13" s="197">
        <v>81000</v>
      </c>
      <c r="G13" s="238">
        <v>81000</v>
      </c>
      <c r="H13" s="252">
        <f t="shared" si="0"/>
        <v>100</v>
      </c>
    </row>
    <row r="14" spans="2:8" s="27" customFormat="1" ht="30" customHeight="1">
      <c r="B14" s="192" t="s">
        <v>226</v>
      </c>
      <c r="C14" s="193"/>
      <c r="D14" s="194"/>
      <c r="E14" s="31" t="s">
        <v>227</v>
      </c>
      <c r="F14" s="197">
        <v>0</v>
      </c>
      <c r="G14" s="238">
        <v>0</v>
      </c>
      <c r="H14" s="252"/>
    </row>
    <row r="15" spans="2:8" s="27" customFormat="1" ht="30" customHeight="1">
      <c r="B15" s="192" t="s">
        <v>207</v>
      </c>
      <c r="C15" s="193"/>
      <c r="D15" s="194"/>
      <c r="E15" s="31" t="s">
        <v>208</v>
      </c>
      <c r="F15" s="197">
        <v>30803</v>
      </c>
      <c r="G15" s="238">
        <v>20819.07</v>
      </c>
      <c r="H15" s="252">
        <f t="shared" si="0"/>
        <v>67.587799889621138</v>
      </c>
    </row>
    <row r="16" spans="2:8" s="27" customFormat="1" ht="30" customHeight="1">
      <c r="B16" s="192" t="s">
        <v>201</v>
      </c>
      <c r="C16" s="193"/>
      <c r="D16" s="194"/>
      <c r="E16" s="31" t="s">
        <v>203</v>
      </c>
      <c r="F16" s="197">
        <v>15762</v>
      </c>
      <c r="G16" s="238">
        <v>15989.09</v>
      </c>
      <c r="H16" s="252">
        <f t="shared" si="0"/>
        <v>101.44074356046187</v>
      </c>
    </row>
    <row r="17" spans="2:8" s="27" customFormat="1" ht="30" customHeight="1">
      <c r="B17" s="198" t="s">
        <v>87</v>
      </c>
      <c r="C17" s="193"/>
      <c r="D17" s="194"/>
      <c r="E17" s="31" t="s">
        <v>89</v>
      </c>
      <c r="F17" s="197">
        <v>753953</v>
      </c>
      <c r="G17" s="238">
        <v>723586.12</v>
      </c>
      <c r="H17" s="252">
        <f t="shared" si="0"/>
        <v>95.972311271392257</v>
      </c>
    </row>
    <row r="18" spans="2:8" s="27" customFormat="1" ht="30" customHeight="1" thickBot="1">
      <c r="B18" s="259" t="s">
        <v>174</v>
      </c>
      <c r="C18" s="260"/>
      <c r="D18" s="261"/>
      <c r="E18" s="254" t="s">
        <v>175</v>
      </c>
      <c r="F18" s="262">
        <v>0</v>
      </c>
      <c r="G18" s="263">
        <v>0</v>
      </c>
      <c r="H18" s="256"/>
    </row>
    <row r="19" spans="2:8" s="27" customFormat="1" ht="30" customHeight="1" thickBot="1">
      <c r="B19" s="336" t="s">
        <v>199</v>
      </c>
      <c r="C19" s="337"/>
      <c r="D19" s="337"/>
      <c r="E19" s="189" t="s">
        <v>200</v>
      </c>
      <c r="F19" s="178">
        <f>F20+F22+F21</f>
        <v>41778.75</v>
      </c>
      <c r="G19" s="239">
        <f>G20+G22+G21</f>
        <v>34087.839999999997</v>
      </c>
      <c r="H19" s="258">
        <f t="shared" si="0"/>
        <v>81.591335308021414</v>
      </c>
    </row>
    <row r="20" spans="2:8" s="27" customFormat="1" ht="30" customHeight="1">
      <c r="B20" s="180" t="s">
        <v>84</v>
      </c>
      <c r="C20" s="175"/>
      <c r="D20" s="176"/>
      <c r="E20" s="168" t="s">
        <v>202</v>
      </c>
      <c r="F20" s="167">
        <f>18098.75+2</f>
        <v>18100.75</v>
      </c>
      <c r="G20" s="240">
        <f>18098.75+0</f>
        <v>18098.75</v>
      </c>
      <c r="H20" s="257">
        <f t="shared" si="0"/>
        <v>99.988950734085606</v>
      </c>
    </row>
    <row r="21" spans="2:8" s="27" customFormat="1" ht="30" customHeight="1">
      <c r="B21" s="32" t="s">
        <v>207</v>
      </c>
      <c r="C21" s="30"/>
      <c r="D21" s="25"/>
      <c r="E21" s="69" t="s">
        <v>208</v>
      </c>
      <c r="F21" s="26">
        <f>7800+116</f>
        <v>7916</v>
      </c>
      <c r="G21" s="241">
        <v>0</v>
      </c>
      <c r="H21" s="252">
        <f t="shared" si="0"/>
        <v>0</v>
      </c>
    </row>
    <row r="22" spans="2:8" s="27" customFormat="1" ht="30" customHeight="1">
      <c r="B22" s="32" t="s">
        <v>201</v>
      </c>
      <c r="C22" s="30"/>
      <c r="D22" s="25"/>
      <c r="E22" s="69" t="s">
        <v>203</v>
      </c>
      <c r="F22" s="26">
        <f>14866+896</f>
        <v>15762</v>
      </c>
      <c r="G22" s="241">
        <f>15152.79+836.3</f>
        <v>15989.09</v>
      </c>
      <c r="H22" s="252">
        <f t="shared" si="0"/>
        <v>101.44074356046187</v>
      </c>
    </row>
    <row r="23" spans="2:8" s="27" customFormat="1" ht="30" customHeight="1">
      <c r="B23" s="338" t="s">
        <v>204</v>
      </c>
      <c r="C23" s="339"/>
      <c r="D23" s="340"/>
      <c r="E23" s="134" t="s">
        <v>205</v>
      </c>
      <c r="F23" s="233">
        <f>F24+F35+F39</f>
        <v>40764.75</v>
      </c>
      <c r="G23" s="242">
        <f>G24+G35+G39</f>
        <v>33251.539999999994</v>
      </c>
      <c r="H23" s="252">
        <f t="shared" si="0"/>
        <v>81.569346064921262</v>
      </c>
    </row>
    <row r="24" spans="2:8" s="27" customFormat="1" ht="30" customHeight="1">
      <c r="B24" s="32" t="s">
        <v>84</v>
      </c>
      <c r="C24" s="169"/>
      <c r="D24" s="170"/>
      <c r="E24" s="69" t="s">
        <v>202</v>
      </c>
      <c r="F24" s="33">
        <v>18098.75</v>
      </c>
      <c r="G24" s="241">
        <f>G25+G32</f>
        <v>18098.75</v>
      </c>
      <c r="H24" s="252">
        <f t="shared" si="0"/>
        <v>100</v>
      </c>
    </row>
    <row r="25" spans="2:8" s="27" customFormat="1" ht="30" customHeight="1">
      <c r="B25" s="29">
        <v>31</v>
      </c>
      <c r="C25" s="30"/>
      <c r="D25" s="25"/>
      <c r="E25" s="69" t="s">
        <v>0</v>
      </c>
      <c r="F25" s="33">
        <f>F26+F28+F30</f>
        <v>17335.489999999998</v>
      </c>
      <c r="G25" s="241">
        <f>G26+G28+G30</f>
        <v>17335.490000000002</v>
      </c>
      <c r="H25" s="252">
        <f t="shared" si="0"/>
        <v>100.00000000000003</v>
      </c>
    </row>
    <row r="26" spans="2:8" s="27" customFormat="1" ht="30" customHeight="1">
      <c r="B26" s="29"/>
      <c r="C26" s="30">
        <v>311</v>
      </c>
      <c r="D26" s="25"/>
      <c r="E26" s="69" t="s">
        <v>229</v>
      </c>
      <c r="F26" s="26">
        <v>13650.49</v>
      </c>
      <c r="G26" s="241">
        <f>G27</f>
        <v>13980.87</v>
      </c>
      <c r="H26" s="252">
        <f t="shared" si="0"/>
        <v>102.42027941854101</v>
      </c>
    </row>
    <row r="27" spans="2:8" s="27" customFormat="1" ht="30" customHeight="1">
      <c r="B27" s="32"/>
      <c r="C27" s="30"/>
      <c r="D27" s="25">
        <v>3111</v>
      </c>
      <c r="E27" s="69" t="s">
        <v>22</v>
      </c>
      <c r="F27" s="26"/>
      <c r="G27" s="241">
        <v>13980.87</v>
      </c>
      <c r="H27" s="252"/>
    </row>
    <row r="28" spans="2:8" s="27" customFormat="1" ht="30" customHeight="1">
      <c r="B28" s="32"/>
      <c r="C28" s="30">
        <v>312</v>
      </c>
      <c r="D28" s="25"/>
      <c r="E28" s="69" t="s">
        <v>166</v>
      </c>
      <c r="F28" s="26">
        <v>1496</v>
      </c>
      <c r="G28" s="241">
        <f>G29</f>
        <v>1047.78</v>
      </c>
      <c r="H28" s="252">
        <f t="shared" si="0"/>
        <v>70.038770053475929</v>
      </c>
    </row>
    <row r="29" spans="2:8" s="27" customFormat="1" ht="30" customHeight="1">
      <c r="B29" s="32"/>
      <c r="C29" s="30"/>
      <c r="D29" s="25">
        <v>3121</v>
      </c>
      <c r="E29" s="69" t="s">
        <v>166</v>
      </c>
      <c r="F29" s="26"/>
      <c r="G29" s="241">
        <v>1047.78</v>
      </c>
      <c r="H29" s="252"/>
    </row>
    <row r="30" spans="2:8" s="27" customFormat="1" ht="30" customHeight="1">
      <c r="B30" s="32"/>
      <c r="C30" s="30">
        <v>313</v>
      </c>
      <c r="D30" s="25"/>
      <c r="E30" s="69" t="s">
        <v>3</v>
      </c>
      <c r="F30" s="26">
        <v>2189</v>
      </c>
      <c r="G30" s="241">
        <f>G31</f>
        <v>2306.84</v>
      </c>
      <c r="H30" s="252">
        <f t="shared" si="0"/>
        <v>105.38328003654638</v>
      </c>
    </row>
    <row r="31" spans="2:8" s="27" customFormat="1" ht="30" customHeight="1">
      <c r="B31" s="32"/>
      <c r="C31" s="30"/>
      <c r="D31" s="25">
        <v>3132</v>
      </c>
      <c r="E31" s="69" t="s">
        <v>23</v>
      </c>
      <c r="F31" s="26"/>
      <c r="G31" s="241">
        <v>2306.84</v>
      </c>
      <c r="H31" s="252"/>
    </row>
    <row r="32" spans="2:8" s="27" customFormat="1" ht="30" customHeight="1">
      <c r="B32" s="29">
        <v>32</v>
      </c>
      <c r="C32" s="30"/>
      <c r="D32" s="25"/>
      <c r="E32" s="69" t="s">
        <v>4</v>
      </c>
      <c r="F32" s="33">
        <f>F33</f>
        <v>763.26</v>
      </c>
      <c r="G32" s="241">
        <f>G33</f>
        <v>763.26</v>
      </c>
      <c r="H32" s="252">
        <f t="shared" si="0"/>
        <v>100</v>
      </c>
    </row>
    <row r="33" spans="2:8" s="27" customFormat="1" ht="30" customHeight="1">
      <c r="B33" s="29"/>
      <c r="C33" s="30">
        <v>321</v>
      </c>
      <c r="D33" s="25"/>
      <c r="E33" s="69" t="s">
        <v>5</v>
      </c>
      <c r="F33" s="33">
        <v>763.26</v>
      </c>
      <c r="G33" s="241">
        <f>G34</f>
        <v>763.26</v>
      </c>
      <c r="H33" s="252">
        <f t="shared" si="0"/>
        <v>100</v>
      </c>
    </row>
    <row r="34" spans="2:8" s="27" customFormat="1" ht="30" customHeight="1">
      <c r="B34" s="32"/>
      <c r="C34" s="30"/>
      <c r="D34" s="25">
        <v>3212</v>
      </c>
      <c r="E34" s="69" t="s">
        <v>206</v>
      </c>
      <c r="F34" s="26"/>
      <c r="G34" s="241">
        <v>763.26</v>
      </c>
      <c r="H34" s="252"/>
    </row>
    <row r="35" spans="2:8" s="27" customFormat="1" ht="30" customHeight="1">
      <c r="B35" s="32" t="s">
        <v>207</v>
      </c>
      <c r="C35" s="30"/>
      <c r="D35" s="25"/>
      <c r="E35" s="69" t="s">
        <v>208</v>
      </c>
      <c r="F35" s="26">
        <f>F36</f>
        <v>7800</v>
      </c>
      <c r="G35" s="241">
        <f>G36</f>
        <v>0</v>
      </c>
      <c r="H35" s="252">
        <f t="shared" si="0"/>
        <v>0</v>
      </c>
    </row>
    <row r="36" spans="2:8" s="27" customFormat="1" ht="30" customHeight="1">
      <c r="B36" s="29">
        <v>31</v>
      </c>
      <c r="C36" s="30"/>
      <c r="D36" s="25"/>
      <c r="E36" s="69" t="s">
        <v>0</v>
      </c>
      <c r="F36" s="26">
        <f>F37</f>
        <v>7800</v>
      </c>
      <c r="G36" s="241">
        <f>G38</f>
        <v>0</v>
      </c>
      <c r="H36" s="252">
        <f t="shared" si="0"/>
        <v>0</v>
      </c>
    </row>
    <row r="37" spans="2:8" s="27" customFormat="1" ht="30" customHeight="1">
      <c r="B37" s="29"/>
      <c r="C37" s="30">
        <v>311</v>
      </c>
      <c r="D37" s="25"/>
      <c r="E37" s="69" t="s">
        <v>229</v>
      </c>
      <c r="F37" s="26">
        <v>7800</v>
      </c>
      <c r="G37" s="241">
        <f>G38</f>
        <v>0</v>
      </c>
      <c r="H37" s="252">
        <f t="shared" si="0"/>
        <v>0</v>
      </c>
    </row>
    <row r="38" spans="2:8" s="27" customFormat="1" ht="30" customHeight="1">
      <c r="B38" s="32"/>
      <c r="C38" s="30"/>
      <c r="D38" s="25">
        <v>3111</v>
      </c>
      <c r="E38" s="69" t="s">
        <v>22</v>
      </c>
      <c r="F38" s="26"/>
      <c r="G38" s="241">
        <v>0</v>
      </c>
      <c r="H38" s="252"/>
    </row>
    <row r="39" spans="2:8" s="27" customFormat="1" ht="30" customHeight="1">
      <c r="B39" s="32" t="s">
        <v>201</v>
      </c>
      <c r="C39" s="30"/>
      <c r="D39" s="25"/>
      <c r="E39" s="69" t="s">
        <v>203</v>
      </c>
      <c r="F39" s="26">
        <f>F40+F47</f>
        <v>14866</v>
      </c>
      <c r="G39" s="241">
        <f>G40+G47</f>
        <v>15152.789999999997</v>
      </c>
      <c r="H39" s="252">
        <f t="shared" si="0"/>
        <v>101.92916722722991</v>
      </c>
    </row>
    <row r="40" spans="2:8" s="27" customFormat="1" ht="30" customHeight="1">
      <c r="B40" s="29">
        <v>31</v>
      </c>
      <c r="C40" s="30"/>
      <c r="D40" s="25"/>
      <c r="E40" s="69" t="s">
        <v>0</v>
      </c>
      <c r="F40" s="26">
        <f>F41+F43+F45</f>
        <v>14231</v>
      </c>
      <c r="G40" s="241">
        <f>G41+G43+G45</f>
        <v>14513.719999999998</v>
      </c>
      <c r="H40" s="252">
        <f t="shared" si="0"/>
        <v>101.98664886515351</v>
      </c>
    </row>
    <row r="41" spans="2:8" s="27" customFormat="1" ht="30" customHeight="1">
      <c r="B41" s="29"/>
      <c r="C41" s="30">
        <v>311</v>
      </c>
      <c r="D41" s="25"/>
      <c r="E41" s="69" t="s">
        <v>229</v>
      </c>
      <c r="F41" s="26">
        <v>11143</v>
      </c>
      <c r="G41" s="241">
        <f>G42</f>
        <v>11705.13</v>
      </c>
      <c r="H41" s="252">
        <f t="shared" si="0"/>
        <v>105.04469173472135</v>
      </c>
    </row>
    <row r="42" spans="2:8" s="27" customFormat="1" ht="30" customHeight="1">
      <c r="B42" s="32"/>
      <c r="C42" s="30"/>
      <c r="D42" s="25">
        <v>3111</v>
      </c>
      <c r="E42" s="69" t="s">
        <v>22</v>
      </c>
      <c r="F42" s="26"/>
      <c r="G42" s="241">
        <v>11705.13</v>
      </c>
      <c r="H42" s="252"/>
    </row>
    <row r="43" spans="2:8" s="27" customFormat="1" ht="30" customHeight="1">
      <c r="B43" s="32"/>
      <c r="C43" s="30">
        <v>312</v>
      </c>
      <c r="D43" s="25"/>
      <c r="E43" s="69" t="s">
        <v>166</v>
      </c>
      <c r="F43" s="26">
        <v>1204</v>
      </c>
      <c r="G43" s="241">
        <f>G44</f>
        <v>877.22</v>
      </c>
      <c r="H43" s="252">
        <f t="shared" si="0"/>
        <v>72.858803986710967</v>
      </c>
    </row>
    <row r="44" spans="2:8" s="27" customFormat="1" ht="30" customHeight="1">
      <c r="B44" s="32"/>
      <c r="C44" s="30"/>
      <c r="D44" s="25">
        <v>3121</v>
      </c>
      <c r="E44" s="69" t="s">
        <v>166</v>
      </c>
      <c r="F44" s="26"/>
      <c r="G44" s="241">
        <v>877.22</v>
      </c>
      <c r="H44" s="252"/>
    </row>
    <row r="45" spans="2:8" s="27" customFormat="1" ht="30" customHeight="1">
      <c r="B45" s="32"/>
      <c r="C45" s="30">
        <v>313</v>
      </c>
      <c r="D45" s="25"/>
      <c r="E45" s="69" t="s">
        <v>3</v>
      </c>
      <c r="F45" s="26">
        <v>1884</v>
      </c>
      <c r="G45" s="241">
        <f>G46</f>
        <v>1931.37</v>
      </c>
      <c r="H45" s="252">
        <f t="shared" si="0"/>
        <v>102.51433121019107</v>
      </c>
    </row>
    <row r="46" spans="2:8" s="27" customFormat="1" ht="30" customHeight="1">
      <c r="B46" s="32"/>
      <c r="C46" s="30"/>
      <c r="D46" s="25">
        <v>3132</v>
      </c>
      <c r="E46" s="69" t="s">
        <v>23</v>
      </c>
      <c r="F46" s="26"/>
      <c r="G46" s="241">
        <v>1931.37</v>
      </c>
      <c r="H46" s="252"/>
    </row>
    <row r="47" spans="2:8" s="27" customFormat="1" ht="30" customHeight="1">
      <c r="B47" s="29">
        <v>32</v>
      </c>
      <c r="C47" s="30"/>
      <c r="D47" s="25"/>
      <c r="E47" s="69" t="s">
        <v>4</v>
      </c>
      <c r="F47" s="26">
        <f>F48</f>
        <v>635</v>
      </c>
      <c r="G47" s="241">
        <f>G48</f>
        <v>639.07000000000005</v>
      </c>
      <c r="H47" s="252">
        <f t="shared" si="0"/>
        <v>100.64094488188977</v>
      </c>
    </row>
    <row r="48" spans="2:8" s="27" customFormat="1" ht="30" customHeight="1">
      <c r="B48" s="29"/>
      <c r="C48" s="30">
        <v>321</v>
      </c>
      <c r="D48" s="25"/>
      <c r="E48" s="69" t="s">
        <v>5</v>
      </c>
      <c r="F48" s="26">
        <v>635</v>
      </c>
      <c r="G48" s="241">
        <f>G49</f>
        <v>639.07000000000005</v>
      </c>
      <c r="H48" s="252">
        <f t="shared" si="0"/>
        <v>100.64094488188977</v>
      </c>
    </row>
    <row r="49" spans="2:8" s="27" customFormat="1" ht="30" customHeight="1">
      <c r="B49" s="32"/>
      <c r="C49" s="30"/>
      <c r="D49" s="25">
        <v>3212</v>
      </c>
      <c r="E49" s="69" t="s">
        <v>206</v>
      </c>
      <c r="F49" s="26"/>
      <c r="G49" s="241">
        <v>639.07000000000005</v>
      </c>
      <c r="H49" s="252"/>
    </row>
    <row r="50" spans="2:8" s="27" customFormat="1" ht="30" customHeight="1">
      <c r="B50" s="338" t="s">
        <v>209</v>
      </c>
      <c r="C50" s="339"/>
      <c r="D50" s="340"/>
      <c r="E50" s="92" t="s">
        <v>210</v>
      </c>
      <c r="F50" s="230">
        <f>F54+F57+F51</f>
        <v>1014</v>
      </c>
      <c r="G50" s="242">
        <f>G54+G57+G51</f>
        <v>836.3</v>
      </c>
      <c r="H50" s="252">
        <f t="shared" si="0"/>
        <v>82.475345167652861</v>
      </c>
    </row>
    <row r="51" spans="2:8" s="27" customFormat="1" ht="30" customHeight="1">
      <c r="B51" s="217" t="s">
        <v>84</v>
      </c>
      <c r="C51" s="218"/>
      <c r="D51" s="219"/>
      <c r="E51" s="69" t="s">
        <v>202</v>
      </c>
      <c r="F51" s="26">
        <f>F52</f>
        <v>2</v>
      </c>
      <c r="G51" s="241">
        <f>G52</f>
        <v>0</v>
      </c>
      <c r="H51" s="252">
        <f t="shared" si="0"/>
        <v>0</v>
      </c>
    </row>
    <row r="52" spans="2:8" s="27" customFormat="1" ht="30" customHeight="1">
      <c r="B52" s="214">
        <v>32</v>
      </c>
      <c r="C52" s="215"/>
      <c r="D52" s="216"/>
      <c r="E52" s="69" t="s">
        <v>4</v>
      </c>
      <c r="F52" s="26">
        <f>F53</f>
        <v>2</v>
      </c>
      <c r="G52" s="241">
        <f>G53</f>
        <v>0</v>
      </c>
      <c r="H52" s="252">
        <f t="shared" si="0"/>
        <v>0</v>
      </c>
    </row>
    <row r="53" spans="2:8" s="27" customFormat="1" ht="30" customHeight="1">
      <c r="B53" s="214"/>
      <c r="C53" s="215">
        <v>322</v>
      </c>
      <c r="D53" s="216"/>
      <c r="E53" s="69" t="s">
        <v>7</v>
      </c>
      <c r="F53" s="26">
        <v>2</v>
      </c>
      <c r="G53" s="241">
        <v>0</v>
      </c>
      <c r="H53" s="252">
        <f t="shared" si="0"/>
        <v>0</v>
      </c>
    </row>
    <row r="54" spans="2:8" s="27" customFormat="1" ht="30" customHeight="1">
      <c r="B54" s="32" t="s">
        <v>207</v>
      </c>
      <c r="C54" s="169"/>
      <c r="D54" s="170"/>
      <c r="E54" s="69" t="s">
        <v>208</v>
      </c>
      <c r="F54" s="26">
        <f>F55</f>
        <v>116</v>
      </c>
      <c r="G54" s="241">
        <f>G55</f>
        <v>0</v>
      </c>
      <c r="H54" s="252">
        <f t="shared" si="0"/>
        <v>0</v>
      </c>
    </row>
    <row r="55" spans="2:8" s="27" customFormat="1" ht="30" customHeight="1">
      <c r="B55" s="29">
        <v>32</v>
      </c>
      <c r="C55" s="30"/>
      <c r="D55" s="25"/>
      <c r="E55" s="69" t="s">
        <v>4</v>
      </c>
      <c r="F55" s="26">
        <f>F56</f>
        <v>116</v>
      </c>
      <c r="G55" s="241">
        <f>G56</f>
        <v>0</v>
      </c>
      <c r="H55" s="252">
        <f t="shared" si="0"/>
        <v>0</v>
      </c>
    </row>
    <row r="56" spans="2:8" s="27" customFormat="1" ht="30" customHeight="1">
      <c r="B56" s="29"/>
      <c r="C56" s="30">
        <v>322</v>
      </c>
      <c r="D56" s="25"/>
      <c r="E56" s="69" t="s">
        <v>7</v>
      </c>
      <c r="F56" s="26">
        <v>116</v>
      </c>
      <c r="G56" s="241">
        <v>0</v>
      </c>
      <c r="H56" s="252">
        <f t="shared" si="0"/>
        <v>0</v>
      </c>
    </row>
    <row r="57" spans="2:8" s="27" customFormat="1" ht="30" customHeight="1">
      <c r="B57" s="32" t="s">
        <v>201</v>
      </c>
      <c r="C57" s="30"/>
      <c r="D57" s="25"/>
      <c r="E57" s="69" t="s">
        <v>203</v>
      </c>
      <c r="F57" s="26">
        <f>F58</f>
        <v>896</v>
      </c>
      <c r="G57" s="241">
        <f>G58</f>
        <v>836.3</v>
      </c>
      <c r="H57" s="252">
        <f t="shared" si="0"/>
        <v>93.337053571428569</v>
      </c>
    </row>
    <row r="58" spans="2:8" s="27" customFormat="1" ht="30" customHeight="1">
      <c r="B58" s="29">
        <v>32</v>
      </c>
      <c r="C58" s="30"/>
      <c r="D58" s="25"/>
      <c r="E58" s="69" t="s">
        <v>4</v>
      </c>
      <c r="F58" s="26">
        <f>F59</f>
        <v>896</v>
      </c>
      <c r="G58" s="241">
        <f>G59</f>
        <v>836.3</v>
      </c>
      <c r="H58" s="252">
        <f t="shared" si="0"/>
        <v>93.337053571428569</v>
      </c>
    </row>
    <row r="59" spans="2:8" s="27" customFormat="1" ht="30" customHeight="1">
      <c r="B59" s="136"/>
      <c r="C59" s="137">
        <v>322</v>
      </c>
      <c r="D59" s="138"/>
      <c r="E59" s="186" t="s">
        <v>7</v>
      </c>
      <c r="F59" s="139">
        <v>896</v>
      </c>
      <c r="G59" s="243">
        <f>G60</f>
        <v>836.3</v>
      </c>
      <c r="H59" s="252">
        <f t="shared" si="0"/>
        <v>93.337053571428569</v>
      </c>
    </row>
    <row r="60" spans="2:8" s="27" customFormat="1" ht="30" customHeight="1" thickBot="1">
      <c r="B60" s="179"/>
      <c r="C60" s="137"/>
      <c r="D60" s="138">
        <v>3222</v>
      </c>
      <c r="E60" s="186" t="s">
        <v>168</v>
      </c>
      <c r="F60" s="139"/>
      <c r="G60" s="243">
        <v>836.3</v>
      </c>
      <c r="H60" s="256"/>
    </row>
    <row r="61" spans="2:8" s="27" customFormat="1" ht="30" customHeight="1" thickBot="1">
      <c r="B61" s="329" t="s">
        <v>82</v>
      </c>
      <c r="C61" s="330"/>
      <c r="D61" s="331"/>
      <c r="E61" s="187" t="s">
        <v>83</v>
      </c>
      <c r="F61" s="188">
        <f>F62+F64+F65+F63</f>
        <v>822095</v>
      </c>
      <c r="G61" s="244">
        <f>G62+G64+G65+G63</f>
        <v>793665.22</v>
      </c>
      <c r="H61" s="258">
        <f t="shared" si="0"/>
        <v>96.541788965995408</v>
      </c>
    </row>
    <row r="62" spans="2:8" s="27" customFormat="1" ht="30" customHeight="1">
      <c r="B62" s="335" t="s">
        <v>84</v>
      </c>
      <c r="C62" s="335"/>
      <c r="D62" s="335"/>
      <c r="E62" s="182" t="s">
        <v>202</v>
      </c>
      <c r="F62" s="167">
        <v>13395</v>
      </c>
      <c r="G62" s="245">
        <v>13261.77</v>
      </c>
      <c r="H62" s="257">
        <f t="shared" si="0"/>
        <v>99.005375139977602</v>
      </c>
    </row>
    <row r="63" spans="2:8" s="27" customFormat="1" ht="30" customHeight="1">
      <c r="B63" s="29" t="s">
        <v>213</v>
      </c>
      <c r="C63" s="30"/>
      <c r="D63" s="25"/>
      <c r="E63" s="31" t="s">
        <v>214</v>
      </c>
      <c r="F63" s="26">
        <v>0</v>
      </c>
      <c r="G63" s="246">
        <f>0</f>
        <v>0</v>
      </c>
      <c r="H63" s="252"/>
    </row>
    <row r="64" spans="2:8" s="27" customFormat="1" ht="30" customHeight="1">
      <c r="B64" s="29" t="s">
        <v>86</v>
      </c>
      <c r="C64" s="30"/>
      <c r="D64" s="25"/>
      <c r="E64" s="31" t="s">
        <v>88</v>
      </c>
      <c r="F64" s="26">
        <v>81000</v>
      </c>
      <c r="G64" s="246">
        <v>81000</v>
      </c>
      <c r="H64" s="252">
        <f t="shared" si="0"/>
        <v>100</v>
      </c>
    </row>
    <row r="65" spans="2:8" s="27" customFormat="1" ht="30" customHeight="1">
      <c r="B65" s="32" t="s">
        <v>87</v>
      </c>
      <c r="C65" s="30"/>
      <c r="D65" s="25"/>
      <c r="E65" s="31" t="s">
        <v>89</v>
      </c>
      <c r="F65" s="26">
        <v>727700</v>
      </c>
      <c r="G65" s="246">
        <v>699403.45</v>
      </c>
      <c r="H65" s="252">
        <f t="shared" si="0"/>
        <v>96.111508863542667</v>
      </c>
    </row>
    <row r="66" spans="2:8" s="27" customFormat="1" ht="30" customHeight="1">
      <c r="B66" s="32" t="s">
        <v>174</v>
      </c>
      <c r="C66" s="30"/>
      <c r="D66" s="25"/>
      <c r="E66" s="112" t="s">
        <v>225</v>
      </c>
      <c r="F66" s="26">
        <v>0</v>
      </c>
      <c r="G66" s="246">
        <v>0</v>
      </c>
      <c r="H66" s="252"/>
    </row>
    <row r="67" spans="2:8" s="27" customFormat="1" ht="30" customHeight="1">
      <c r="B67" s="321" t="s">
        <v>90</v>
      </c>
      <c r="C67" s="322"/>
      <c r="D67" s="323"/>
      <c r="E67" s="231" t="s">
        <v>91</v>
      </c>
      <c r="F67" s="230">
        <f>F68+F86+F89+F115+F141</f>
        <v>822095</v>
      </c>
      <c r="G67" s="247">
        <f>G68+G86+G89+G115+G141</f>
        <v>793665.22</v>
      </c>
      <c r="H67" s="252">
        <f t="shared" si="0"/>
        <v>96.541788965995408</v>
      </c>
    </row>
    <row r="68" spans="2:8" s="27" customFormat="1" ht="30" customHeight="1">
      <c r="B68" s="29" t="s">
        <v>84</v>
      </c>
      <c r="C68" s="30"/>
      <c r="D68" s="25"/>
      <c r="E68" s="112" t="s">
        <v>202</v>
      </c>
      <c r="F68" s="26">
        <f>F69+F83</f>
        <v>13395</v>
      </c>
      <c r="G68" s="248">
        <f>G69+G83</f>
        <v>13261.769999999999</v>
      </c>
      <c r="H68" s="252">
        <f t="shared" si="0"/>
        <v>99.005375139977588</v>
      </c>
    </row>
    <row r="69" spans="2:8" s="27" customFormat="1" ht="30" customHeight="1">
      <c r="B69" s="29">
        <v>32</v>
      </c>
      <c r="C69" s="30"/>
      <c r="D69" s="25"/>
      <c r="E69" s="112" t="s">
        <v>4</v>
      </c>
      <c r="F69" s="26">
        <f>F75+F81+F70+F72</f>
        <v>12363</v>
      </c>
      <c r="G69" s="248">
        <f>G75+G81+G72+G70</f>
        <v>12230.599999999999</v>
      </c>
      <c r="H69" s="252">
        <f t="shared" si="0"/>
        <v>98.929062525277018</v>
      </c>
    </row>
    <row r="70" spans="2:8" s="27" customFormat="1" ht="30" customHeight="1">
      <c r="B70" s="214"/>
      <c r="C70" s="215">
        <v>321</v>
      </c>
      <c r="D70" s="216"/>
      <c r="E70" s="69" t="s">
        <v>5</v>
      </c>
      <c r="F70" s="26">
        <v>1200</v>
      </c>
      <c r="G70" s="248">
        <f>G71</f>
        <v>1200</v>
      </c>
      <c r="H70" s="252">
        <f t="shared" si="0"/>
        <v>100</v>
      </c>
    </row>
    <row r="71" spans="2:8" s="27" customFormat="1" ht="30" customHeight="1">
      <c r="B71" s="214"/>
      <c r="C71" s="215"/>
      <c r="D71" s="216">
        <v>3211</v>
      </c>
      <c r="E71" s="112" t="s">
        <v>25</v>
      </c>
      <c r="F71" s="26"/>
      <c r="G71" s="248">
        <v>1200</v>
      </c>
      <c r="H71" s="252"/>
    </row>
    <row r="72" spans="2:8" s="27" customFormat="1" ht="30" customHeight="1">
      <c r="B72" s="214"/>
      <c r="C72" s="215">
        <v>322</v>
      </c>
      <c r="D72" s="216"/>
      <c r="E72" s="69" t="s">
        <v>7</v>
      </c>
      <c r="F72" s="26">
        <v>3700</v>
      </c>
      <c r="G72" s="248">
        <f>G73+G74</f>
        <v>3567.6000000000004</v>
      </c>
      <c r="H72" s="252">
        <f t="shared" si="0"/>
        <v>96.42162162162164</v>
      </c>
    </row>
    <row r="73" spans="2:8" s="27" customFormat="1" ht="30" customHeight="1">
      <c r="B73" s="214"/>
      <c r="C73" s="215"/>
      <c r="D73" s="216">
        <v>3221</v>
      </c>
      <c r="E73" s="31" t="s">
        <v>8</v>
      </c>
      <c r="F73" s="26"/>
      <c r="G73" s="248">
        <v>3105.78</v>
      </c>
      <c r="H73" s="252"/>
    </row>
    <row r="74" spans="2:8" s="27" customFormat="1" ht="30" customHeight="1">
      <c r="B74" s="214"/>
      <c r="C74" s="215"/>
      <c r="D74" s="216">
        <v>3223</v>
      </c>
      <c r="E74" s="31" t="s">
        <v>29</v>
      </c>
      <c r="F74" s="26"/>
      <c r="G74" s="248">
        <v>461.82</v>
      </c>
      <c r="H74" s="252"/>
    </row>
    <row r="75" spans="2:8" s="27" customFormat="1" ht="30" customHeight="1">
      <c r="B75" s="29"/>
      <c r="C75" s="30">
        <v>323</v>
      </c>
      <c r="D75" s="25"/>
      <c r="E75" s="112" t="s">
        <v>9</v>
      </c>
      <c r="F75" s="26">
        <v>7163</v>
      </c>
      <c r="G75" s="248">
        <f>SUM(G76:G80)</f>
        <v>7162.9999999999991</v>
      </c>
      <c r="H75" s="252">
        <f t="shared" ref="H75:H136" si="1">G75/F75*100</f>
        <v>99.999999999999986</v>
      </c>
    </row>
    <row r="76" spans="2:8" s="27" customFormat="1" ht="30" customHeight="1">
      <c r="B76" s="29"/>
      <c r="C76" s="30"/>
      <c r="D76" s="25">
        <v>3231</v>
      </c>
      <c r="E76" s="112" t="s">
        <v>223</v>
      </c>
      <c r="F76" s="26"/>
      <c r="G76" s="248">
        <f>5171.78+68.53+61.59</f>
        <v>5301.9</v>
      </c>
      <c r="H76" s="252"/>
    </row>
    <row r="77" spans="2:8" s="27" customFormat="1" ht="30" customHeight="1">
      <c r="B77" s="214"/>
      <c r="C77" s="215"/>
      <c r="D77" s="216">
        <v>3232</v>
      </c>
      <c r="E77" s="112" t="s">
        <v>35</v>
      </c>
      <c r="F77" s="26"/>
      <c r="G77" s="248">
        <v>1432.5</v>
      </c>
      <c r="H77" s="252"/>
    </row>
    <row r="78" spans="2:8" s="27" customFormat="1" ht="30" customHeight="1">
      <c r="B78" s="29"/>
      <c r="C78" s="30"/>
      <c r="D78" s="25">
        <v>3234</v>
      </c>
      <c r="E78" s="112" t="s">
        <v>37</v>
      </c>
      <c r="F78" s="26"/>
      <c r="G78" s="248">
        <f>114.81+62.56</f>
        <v>177.37</v>
      </c>
      <c r="H78" s="252"/>
    </row>
    <row r="79" spans="2:8" s="27" customFormat="1" ht="30" customHeight="1">
      <c r="B79" s="214"/>
      <c r="C79" s="215"/>
      <c r="D79" s="216">
        <v>3237</v>
      </c>
      <c r="E79" s="31" t="s">
        <v>50</v>
      </c>
      <c r="F79" s="26"/>
      <c r="G79" s="248">
        <v>81.25</v>
      </c>
      <c r="H79" s="252"/>
    </row>
    <row r="80" spans="2:8" s="27" customFormat="1" ht="30" customHeight="1">
      <c r="B80" s="29"/>
      <c r="C80" s="30"/>
      <c r="D80" s="25">
        <v>3238</v>
      </c>
      <c r="E80" s="112" t="s">
        <v>39</v>
      </c>
      <c r="F80" s="26"/>
      <c r="G80" s="248">
        <v>169.98</v>
      </c>
      <c r="H80" s="252"/>
    </row>
    <row r="81" spans="2:8" s="27" customFormat="1" ht="30" customHeight="1">
      <c r="B81" s="29"/>
      <c r="C81" s="30">
        <v>329</v>
      </c>
      <c r="D81" s="25"/>
      <c r="E81" s="112" t="s">
        <v>11</v>
      </c>
      <c r="F81" s="26">
        <v>300</v>
      </c>
      <c r="G81" s="248">
        <f>G82</f>
        <v>300</v>
      </c>
      <c r="H81" s="252">
        <f t="shared" si="1"/>
        <v>100</v>
      </c>
    </row>
    <row r="82" spans="2:8" s="27" customFormat="1" ht="30" customHeight="1">
      <c r="B82" s="29"/>
      <c r="C82" s="30"/>
      <c r="D82" s="25">
        <v>3299</v>
      </c>
      <c r="E82" s="112" t="s">
        <v>10</v>
      </c>
      <c r="F82" s="26"/>
      <c r="G82" s="248">
        <v>300</v>
      </c>
      <c r="H82" s="252"/>
    </row>
    <row r="83" spans="2:8" s="27" customFormat="1" ht="30" customHeight="1">
      <c r="B83" s="214">
        <v>42</v>
      </c>
      <c r="C83" s="215"/>
      <c r="D83" s="216"/>
      <c r="E83" s="28" t="s">
        <v>15</v>
      </c>
      <c r="F83" s="26">
        <v>1032</v>
      </c>
      <c r="G83" s="248">
        <f>G84</f>
        <v>1031.17</v>
      </c>
      <c r="H83" s="252">
        <f t="shared" si="1"/>
        <v>99.919573643410871</v>
      </c>
    </row>
    <row r="84" spans="2:8" s="27" customFormat="1" ht="30" customHeight="1">
      <c r="B84" s="214"/>
      <c r="C84" s="215">
        <v>422</v>
      </c>
      <c r="D84" s="216"/>
      <c r="E84" s="28" t="s">
        <v>14</v>
      </c>
      <c r="F84" s="26"/>
      <c r="G84" s="248">
        <f>G85</f>
        <v>1031.17</v>
      </c>
      <c r="H84" s="252"/>
    </row>
    <row r="85" spans="2:8" s="27" customFormat="1" ht="30" customHeight="1">
      <c r="B85" s="214"/>
      <c r="C85" s="215"/>
      <c r="D85" s="216">
        <v>4223</v>
      </c>
      <c r="E85" s="112" t="s">
        <v>251</v>
      </c>
      <c r="F85" s="26"/>
      <c r="G85" s="248">
        <v>1031.17</v>
      </c>
      <c r="H85" s="252"/>
    </row>
    <row r="86" spans="2:8" s="27" customFormat="1" ht="30" customHeight="1">
      <c r="B86" s="29" t="s">
        <v>213</v>
      </c>
      <c r="C86" s="30"/>
      <c r="D86" s="25"/>
      <c r="E86" s="112" t="s">
        <v>214</v>
      </c>
      <c r="F86" s="26">
        <f>F87</f>
        <v>0</v>
      </c>
      <c r="G86" s="248">
        <f>G87</f>
        <v>0</v>
      </c>
      <c r="H86" s="252"/>
    </row>
    <row r="87" spans="2:8" s="27" customFormat="1" ht="30" customHeight="1">
      <c r="B87" s="29">
        <v>32</v>
      </c>
      <c r="C87" s="30"/>
      <c r="D87" s="25"/>
      <c r="E87" s="112" t="s">
        <v>4</v>
      </c>
      <c r="F87" s="26">
        <v>0</v>
      </c>
      <c r="G87" s="248">
        <f>G88</f>
        <v>0</v>
      </c>
      <c r="H87" s="252"/>
    </row>
    <row r="88" spans="2:8" s="27" customFormat="1" ht="30" customHeight="1">
      <c r="B88" s="29"/>
      <c r="C88" s="30"/>
      <c r="D88" s="25">
        <v>329</v>
      </c>
      <c r="E88" s="112" t="s">
        <v>11</v>
      </c>
      <c r="F88" s="26">
        <v>0</v>
      </c>
      <c r="G88" s="248">
        <v>0</v>
      </c>
      <c r="H88" s="252"/>
    </row>
    <row r="89" spans="2:8" s="27" customFormat="1" ht="30" customHeight="1">
      <c r="B89" s="29" t="s">
        <v>86</v>
      </c>
      <c r="C89" s="30"/>
      <c r="D89" s="25"/>
      <c r="E89" s="112" t="s">
        <v>88</v>
      </c>
      <c r="F89" s="26">
        <f>F93+F112+F90</f>
        <v>81000</v>
      </c>
      <c r="G89" s="248">
        <f>G93+G112+G90</f>
        <v>81000</v>
      </c>
      <c r="H89" s="252">
        <f t="shared" si="1"/>
        <v>100</v>
      </c>
    </row>
    <row r="90" spans="2:8" s="27" customFormat="1" ht="30" customHeight="1">
      <c r="B90" s="29">
        <v>31</v>
      </c>
      <c r="C90" s="30"/>
      <c r="D90" s="25"/>
      <c r="E90" s="112" t="s">
        <v>0</v>
      </c>
      <c r="F90" s="26">
        <f>0</f>
        <v>0</v>
      </c>
      <c r="G90" s="248">
        <f>G91+G92</f>
        <v>0</v>
      </c>
      <c r="H90" s="252"/>
    </row>
    <row r="91" spans="2:8" s="27" customFormat="1" ht="30" customHeight="1">
      <c r="B91" s="29"/>
      <c r="C91" s="30"/>
      <c r="D91" s="25">
        <v>311</v>
      </c>
      <c r="E91" s="112" t="s">
        <v>1</v>
      </c>
      <c r="F91" s="26">
        <v>0</v>
      </c>
      <c r="G91" s="248">
        <v>0</v>
      </c>
      <c r="H91" s="252"/>
    </row>
    <row r="92" spans="2:8" s="27" customFormat="1" ht="30" customHeight="1">
      <c r="B92" s="29"/>
      <c r="C92" s="30"/>
      <c r="D92" s="25">
        <v>313</v>
      </c>
      <c r="E92" s="112" t="s">
        <v>3</v>
      </c>
      <c r="F92" s="26">
        <v>0</v>
      </c>
      <c r="G92" s="248">
        <v>0</v>
      </c>
      <c r="H92" s="252"/>
    </row>
    <row r="93" spans="2:8" s="27" customFormat="1" ht="30" customHeight="1">
      <c r="B93" s="29">
        <v>32</v>
      </c>
      <c r="C93" s="30"/>
      <c r="D93" s="25"/>
      <c r="E93" s="31" t="s">
        <v>4</v>
      </c>
      <c r="F93" s="26">
        <f>F94+F98+F103+F109</f>
        <v>80490</v>
      </c>
      <c r="G93" s="246">
        <f>G94+G98+G103+G109</f>
        <v>80490</v>
      </c>
      <c r="H93" s="252">
        <f t="shared" si="1"/>
        <v>100</v>
      </c>
    </row>
    <row r="94" spans="2:8" s="27" customFormat="1" ht="30" customHeight="1">
      <c r="B94" s="29"/>
      <c r="C94" s="30">
        <v>321</v>
      </c>
      <c r="D94" s="25"/>
      <c r="E94" s="31" t="s">
        <v>5</v>
      </c>
      <c r="F94" s="26">
        <v>3000</v>
      </c>
      <c r="G94" s="246">
        <f>G95+G96+G97</f>
        <v>3000</v>
      </c>
      <c r="H94" s="252">
        <f t="shared" si="1"/>
        <v>100</v>
      </c>
    </row>
    <row r="95" spans="2:8" s="27" customFormat="1" ht="30" customHeight="1">
      <c r="B95" s="29"/>
      <c r="C95" s="30"/>
      <c r="D95" s="25">
        <v>3211</v>
      </c>
      <c r="E95" s="31" t="s">
        <v>25</v>
      </c>
      <c r="F95" s="26"/>
      <c r="G95" s="248">
        <f>1010.13+972</f>
        <v>1982.13</v>
      </c>
      <c r="H95" s="252"/>
    </row>
    <row r="96" spans="2:8" s="27" customFormat="1" ht="30" customHeight="1">
      <c r="B96" s="214"/>
      <c r="C96" s="215"/>
      <c r="D96" s="216">
        <v>3213</v>
      </c>
      <c r="E96" s="112" t="s">
        <v>249</v>
      </c>
      <c r="F96" s="26"/>
      <c r="G96" s="248">
        <v>826.5</v>
      </c>
      <c r="H96" s="252"/>
    </row>
    <row r="97" spans="2:11" s="27" customFormat="1" ht="30" customHeight="1">
      <c r="B97" s="214"/>
      <c r="C97" s="215"/>
      <c r="D97" s="216">
        <v>3214</v>
      </c>
      <c r="E97" s="112" t="s">
        <v>250</v>
      </c>
      <c r="F97" s="26"/>
      <c r="G97" s="248">
        <f>46+145.37</f>
        <v>191.37</v>
      </c>
      <c r="H97" s="252"/>
    </row>
    <row r="98" spans="2:11" s="27" customFormat="1" ht="30" customHeight="1">
      <c r="B98" s="29"/>
      <c r="C98" s="30">
        <v>322</v>
      </c>
      <c r="D98" s="25"/>
      <c r="E98" s="31" t="s">
        <v>7</v>
      </c>
      <c r="F98" s="26">
        <v>11390</v>
      </c>
      <c r="G98" s="246">
        <f>SUM(G99:G102)</f>
        <v>11390</v>
      </c>
      <c r="H98" s="252">
        <f t="shared" si="1"/>
        <v>100</v>
      </c>
    </row>
    <row r="99" spans="2:11" s="27" customFormat="1" ht="30" customHeight="1">
      <c r="B99" s="29"/>
      <c r="C99" s="30"/>
      <c r="D99" s="25">
        <v>3221</v>
      </c>
      <c r="E99" s="31" t="s">
        <v>8</v>
      </c>
      <c r="F99" s="26"/>
      <c r="G99" s="246">
        <f>1051.71+411.76+918.88+18.38</f>
        <v>2400.73</v>
      </c>
      <c r="H99" s="252"/>
      <c r="K99" s="126"/>
    </row>
    <row r="100" spans="2:11" s="27" customFormat="1" ht="30" customHeight="1">
      <c r="B100" s="29"/>
      <c r="C100" s="30"/>
      <c r="D100" s="25">
        <v>3223</v>
      </c>
      <c r="E100" s="31" t="s">
        <v>29</v>
      </c>
      <c r="F100" s="26"/>
      <c r="G100" s="246">
        <f>4312.25+3362.35</f>
        <v>7674.6</v>
      </c>
      <c r="H100" s="252"/>
      <c r="K100" s="126"/>
    </row>
    <row r="101" spans="2:11" s="27" customFormat="1" ht="30" customHeight="1">
      <c r="B101" s="29"/>
      <c r="C101" s="30"/>
      <c r="D101" s="25">
        <v>3224</v>
      </c>
      <c r="E101" s="31" t="s">
        <v>31</v>
      </c>
      <c r="F101" s="26"/>
      <c r="G101" s="246">
        <f>117+576.35</f>
        <v>693.35</v>
      </c>
      <c r="H101" s="252"/>
    </row>
    <row r="102" spans="2:11" s="27" customFormat="1" ht="30" customHeight="1">
      <c r="B102" s="29"/>
      <c r="C102" s="30"/>
      <c r="D102" s="25">
        <v>3225</v>
      </c>
      <c r="E102" s="31" t="s">
        <v>49</v>
      </c>
      <c r="F102" s="26"/>
      <c r="G102" s="246">
        <v>621.32000000000005</v>
      </c>
      <c r="H102" s="252"/>
    </row>
    <row r="103" spans="2:11" s="27" customFormat="1" ht="30" customHeight="1">
      <c r="B103" s="29"/>
      <c r="C103" s="30">
        <v>323</v>
      </c>
      <c r="D103" s="25"/>
      <c r="E103" s="31" t="s">
        <v>9</v>
      </c>
      <c r="F103" s="26">
        <v>65600</v>
      </c>
      <c r="G103" s="246">
        <f>SUM(G104:G108)</f>
        <v>65600</v>
      </c>
      <c r="H103" s="252">
        <f t="shared" si="1"/>
        <v>100</v>
      </c>
    </row>
    <row r="104" spans="2:11" s="27" customFormat="1" ht="30" customHeight="1">
      <c r="B104" s="29"/>
      <c r="C104" s="30"/>
      <c r="D104" s="25">
        <v>3231</v>
      </c>
      <c r="E104" s="31" t="s">
        <v>33</v>
      </c>
      <c r="F104" s="26"/>
      <c r="G104" s="246">
        <f>677.96+93.46+57865.25</f>
        <v>58636.67</v>
      </c>
      <c r="H104" s="252"/>
    </row>
    <row r="105" spans="2:11" s="27" customFormat="1" ht="30" customHeight="1">
      <c r="B105" s="29"/>
      <c r="C105" s="30"/>
      <c r="D105" s="25">
        <v>3232</v>
      </c>
      <c r="E105" s="31" t="s">
        <v>35</v>
      </c>
      <c r="F105" s="26"/>
      <c r="G105" s="246">
        <v>1500.48</v>
      </c>
      <c r="H105" s="252"/>
    </row>
    <row r="106" spans="2:11" s="27" customFormat="1" ht="30" customHeight="1">
      <c r="B106" s="29"/>
      <c r="C106" s="30"/>
      <c r="D106" s="25">
        <v>3234</v>
      </c>
      <c r="E106" s="31" t="s">
        <v>37</v>
      </c>
      <c r="F106" s="26"/>
      <c r="G106" s="246">
        <f>443.59+694.09+199.75+674.01+1046.1</f>
        <v>3057.54</v>
      </c>
      <c r="H106" s="252"/>
    </row>
    <row r="107" spans="2:11" s="27" customFormat="1" ht="30" customHeight="1">
      <c r="B107" s="29"/>
      <c r="C107" s="30"/>
      <c r="D107" s="25">
        <v>3237</v>
      </c>
      <c r="E107" s="31" t="s">
        <v>50</v>
      </c>
      <c r="F107" s="26"/>
      <c r="G107" s="246">
        <v>81.25</v>
      </c>
      <c r="H107" s="252"/>
    </row>
    <row r="108" spans="2:11" s="27" customFormat="1" ht="30" customHeight="1">
      <c r="B108" s="29"/>
      <c r="C108" s="30"/>
      <c r="D108" s="25">
        <v>3238</v>
      </c>
      <c r="E108" s="69" t="s">
        <v>39</v>
      </c>
      <c r="F108" s="26"/>
      <c r="G108" s="246">
        <v>2324.06</v>
      </c>
      <c r="H108" s="252"/>
    </row>
    <row r="109" spans="2:11" s="27" customFormat="1" ht="30" customHeight="1">
      <c r="B109" s="29"/>
      <c r="C109" s="30">
        <v>329</v>
      </c>
      <c r="D109" s="25"/>
      <c r="E109" s="126" t="s">
        <v>11</v>
      </c>
      <c r="F109" s="26">
        <v>500</v>
      </c>
      <c r="G109" s="246">
        <f>SUM(G110:G111)</f>
        <v>500</v>
      </c>
      <c r="H109" s="252">
        <f t="shared" si="1"/>
        <v>100</v>
      </c>
    </row>
    <row r="110" spans="2:11" s="27" customFormat="1" ht="30" customHeight="1">
      <c r="B110" s="29"/>
      <c r="C110" s="30"/>
      <c r="D110" s="25">
        <v>3294</v>
      </c>
      <c r="E110" s="31" t="s">
        <v>51</v>
      </c>
      <c r="F110" s="26"/>
      <c r="G110" s="246">
        <v>70</v>
      </c>
      <c r="H110" s="252"/>
    </row>
    <row r="111" spans="2:11" s="27" customFormat="1" ht="30" customHeight="1">
      <c r="B111" s="29"/>
      <c r="C111" s="30"/>
      <c r="D111" s="25">
        <v>3299</v>
      </c>
      <c r="E111" s="31" t="s">
        <v>11</v>
      </c>
      <c r="F111" s="26"/>
      <c r="G111" s="246">
        <v>430</v>
      </c>
      <c r="H111" s="252"/>
    </row>
    <row r="112" spans="2:11" s="27" customFormat="1" ht="30" customHeight="1">
      <c r="B112" s="29">
        <v>34</v>
      </c>
      <c r="C112" s="30"/>
      <c r="D112" s="25"/>
      <c r="E112" s="31" t="s">
        <v>12</v>
      </c>
      <c r="F112" s="26">
        <f>F113</f>
        <v>510</v>
      </c>
      <c r="G112" s="246">
        <f>G113</f>
        <v>510</v>
      </c>
      <c r="H112" s="252">
        <f t="shared" si="1"/>
        <v>100</v>
      </c>
    </row>
    <row r="113" spans="2:8" s="27" customFormat="1" ht="30" customHeight="1">
      <c r="B113" s="29"/>
      <c r="C113" s="30">
        <v>343</v>
      </c>
      <c r="D113" s="25"/>
      <c r="E113" s="31" t="s">
        <v>13</v>
      </c>
      <c r="F113" s="26">
        <v>510</v>
      </c>
      <c r="G113" s="246">
        <f>G114</f>
        <v>510</v>
      </c>
      <c r="H113" s="252">
        <f t="shared" si="1"/>
        <v>100</v>
      </c>
    </row>
    <row r="114" spans="2:8" s="27" customFormat="1" ht="30" customHeight="1">
      <c r="B114" s="29"/>
      <c r="C114" s="30"/>
      <c r="D114" s="25">
        <v>3431</v>
      </c>
      <c r="E114" s="31" t="s">
        <v>44</v>
      </c>
      <c r="F114" s="26"/>
      <c r="G114" s="246">
        <v>510</v>
      </c>
      <c r="H114" s="252"/>
    </row>
    <row r="115" spans="2:8" s="27" customFormat="1" ht="30" customHeight="1">
      <c r="B115" s="29" t="s">
        <v>87</v>
      </c>
      <c r="C115" s="30"/>
      <c r="D115" s="25"/>
      <c r="E115" s="31" t="s">
        <v>219</v>
      </c>
      <c r="F115" s="26">
        <f>F116+F125+F134+F136+F139</f>
        <v>727700</v>
      </c>
      <c r="G115" s="246">
        <f>G116+G125+G134+G136+G139</f>
        <v>699403.45</v>
      </c>
      <c r="H115" s="252">
        <f t="shared" si="1"/>
        <v>96.111508863542667</v>
      </c>
    </row>
    <row r="116" spans="2:8" s="27" customFormat="1" ht="30" customHeight="1">
      <c r="B116" s="29">
        <v>31</v>
      </c>
      <c r="C116" s="30"/>
      <c r="D116" s="25"/>
      <c r="E116" s="31" t="s">
        <v>0</v>
      </c>
      <c r="F116" s="26">
        <f>F117+F121+F123</f>
        <v>654500</v>
      </c>
      <c r="G116" s="246">
        <f>G117+G121+G123</f>
        <v>632582.77999999991</v>
      </c>
      <c r="H116" s="252">
        <f t="shared" si="1"/>
        <v>96.65130328495033</v>
      </c>
    </row>
    <row r="117" spans="2:8" s="27" customFormat="1" ht="30" customHeight="1">
      <c r="B117" s="29"/>
      <c r="C117" s="30">
        <v>311</v>
      </c>
      <c r="D117" s="25"/>
      <c r="E117" s="31" t="s">
        <v>229</v>
      </c>
      <c r="F117" s="26">
        <v>540000</v>
      </c>
      <c r="G117" s="246">
        <f>G118+G120+G119</f>
        <v>527857.48</v>
      </c>
      <c r="H117" s="252">
        <f t="shared" si="1"/>
        <v>97.751385185185185</v>
      </c>
    </row>
    <row r="118" spans="2:8" s="27" customFormat="1" ht="30" customHeight="1">
      <c r="B118" s="29"/>
      <c r="C118" s="30"/>
      <c r="D118" s="25">
        <v>3111</v>
      </c>
      <c r="E118" s="31" t="s">
        <v>22</v>
      </c>
      <c r="F118" s="26"/>
      <c r="G118" s="246">
        <v>514021.47</v>
      </c>
      <c r="H118" s="252"/>
    </row>
    <row r="119" spans="2:8" s="27" customFormat="1" ht="30" customHeight="1">
      <c r="B119" s="214"/>
      <c r="C119" s="215"/>
      <c r="D119" s="216">
        <v>3113</v>
      </c>
      <c r="E119" s="31" t="s">
        <v>245</v>
      </c>
      <c r="F119" s="26"/>
      <c r="G119" s="246">
        <v>7093.46</v>
      </c>
      <c r="H119" s="252"/>
    </row>
    <row r="120" spans="2:8" s="27" customFormat="1" ht="30" customHeight="1">
      <c r="B120" s="29"/>
      <c r="C120" s="30"/>
      <c r="D120" s="25">
        <v>3114</v>
      </c>
      <c r="E120" s="31" t="s">
        <v>165</v>
      </c>
      <c r="F120" s="26"/>
      <c r="G120" s="246">
        <v>6742.55</v>
      </c>
      <c r="H120" s="252"/>
    </row>
    <row r="121" spans="2:8" s="27" customFormat="1" ht="30" customHeight="1">
      <c r="B121" s="29"/>
      <c r="C121" s="30">
        <v>312</v>
      </c>
      <c r="D121" s="25"/>
      <c r="E121" s="31" t="s">
        <v>166</v>
      </c>
      <c r="F121" s="26">
        <v>24500</v>
      </c>
      <c r="G121" s="246">
        <f>G122</f>
        <v>18297.580000000002</v>
      </c>
      <c r="H121" s="252">
        <f t="shared" si="1"/>
        <v>74.684000000000012</v>
      </c>
    </row>
    <row r="122" spans="2:8" s="27" customFormat="1" ht="30" customHeight="1">
      <c r="B122" s="29"/>
      <c r="C122" s="30"/>
      <c r="D122" s="25">
        <v>3121</v>
      </c>
      <c r="E122" s="31" t="s">
        <v>166</v>
      </c>
      <c r="F122" s="26"/>
      <c r="G122" s="246">
        <v>18297.580000000002</v>
      </c>
      <c r="H122" s="252"/>
    </row>
    <row r="123" spans="2:8" s="27" customFormat="1" ht="30" customHeight="1">
      <c r="B123" s="29"/>
      <c r="C123" s="30">
        <v>313</v>
      </c>
      <c r="D123" s="25"/>
      <c r="E123" s="31" t="s">
        <v>3</v>
      </c>
      <c r="F123" s="26">
        <v>90000</v>
      </c>
      <c r="G123" s="246">
        <f>G124</f>
        <v>86427.72</v>
      </c>
      <c r="H123" s="252">
        <f t="shared" si="1"/>
        <v>96.030799999999999</v>
      </c>
    </row>
    <row r="124" spans="2:8" s="27" customFormat="1" ht="30" customHeight="1">
      <c r="B124" s="29"/>
      <c r="C124" s="30"/>
      <c r="D124" s="25">
        <v>3132</v>
      </c>
      <c r="E124" s="31" t="s">
        <v>167</v>
      </c>
      <c r="F124" s="26"/>
      <c r="G124" s="246">
        <v>86427.72</v>
      </c>
      <c r="H124" s="252"/>
    </row>
    <row r="125" spans="2:8" s="27" customFormat="1" ht="30" customHeight="1">
      <c r="B125" s="29">
        <v>32</v>
      </c>
      <c r="C125" s="30"/>
      <c r="D125" s="25"/>
      <c r="E125" s="31" t="s">
        <v>4</v>
      </c>
      <c r="F125" s="26">
        <f>F126+F128+F129+F131</f>
        <v>72200</v>
      </c>
      <c r="G125" s="246">
        <f>G126+G128+G129+G131</f>
        <v>66236.670000000013</v>
      </c>
      <c r="H125" s="252">
        <f t="shared" si="1"/>
        <v>91.740540166205008</v>
      </c>
    </row>
    <row r="126" spans="2:8" s="27" customFormat="1" ht="30" customHeight="1">
      <c r="B126" s="29"/>
      <c r="C126" s="30">
        <v>321</v>
      </c>
      <c r="D126" s="25"/>
      <c r="E126" s="31" t="s">
        <v>5</v>
      </c>
      <c r="F126" s="26">
        <v>55200</v>
      </c>
      <c r="G126" s="246">
        <f>G127</f>
        <v>48620.72</v>
      </c>
      <c r="H126" s="252">
        <f t="shared" si="1"/>
        <v>88.081014492753624</v>
      </c>
    </row>
    <row r="127" spans="2:8" s="27" customFormat="1" ht="30" customHeight="1">
      <c r="B127" s="29"/>
      <c r="C127" s="30"/>
      <c r="D127" s="25">
        <v>3212</v>
      </c>
      <c r="E127" s="31" t="s">
        <v>176</v>
      </c>
      <c r="F127" s="26"/>
      <c r="G127" s="249">
        <v>48620.72</v>
      </c>
      <c r="H127" s="252"/>
    </row>
    <row r="128" spans="2:8" s="27" customFormat="1" ht="30" customHeight="1">
      <c r="B128" s="29"/>
      <c r="C128" s="30">
        <v>322</v>
      </c>
      <c r="D128" s="25"/>
      <c r="E128" s="31" t="s">
        <v>7</v>
      </c>
      <c r="F128" s="26">
        <v>0</v>
      </c>
      <c r="G128" s="246">
        <v>0</v>
      </c>
      <c r="H128" s="252"/>
    </row>
    <row r="129" spans="2:8" s="27" customFormat="1" ht="30" customHeight="1">
      <c r="B129" s="214"/>
      <c r="C129" s="215">
        <v>323</v>
      </c>
      <c r="D129" s="216"/>
      <c r="E129" s="31" t="s">
        <v>9</v>
      </c>
      <c r="F129" s="26">
        <v>14000</v>
      </c>
      <c r="G129" s="246">
        <f>G130</f>
        <v>13198.600000000002</v>
      </c>
      <c r="H129" s="252">
        <f t="shared" si="1"/>
        <v>94.275714285714301</v>
      </c>
    </row>
    <row r="130" spans="2:8" s="27" customFormat="1" ht="30" customHeight="1">
      <c r="B130" s="214"/>
      <c r="C130" s="215"/>
      <c r="D130" s="216">
        <v>3237</v>
      </c>
      <c r="E130" s="28" t="s">
        <v>50</v>
      </c>
      <c r="F130" s="26"/>
      <c r="G130" s="246">
        <f>18573.58-5374.98</f>
        <v>13198.600000000002</v>
      </c>
      <c r="H130" s="252"/>
    </row>
    <row r="131" spans="2:8" s="27" customFormat="1" ht="30" customHeight="1">
      <c r="B131" s="214"/>
      <c r="C131" s="215">
        <v>329</v>
      </c>
      <c r="D131" s="216"/>
      <c r="E131" s="31" t="s">
        <v>11</v>
      </c>
      <c r="F131" s="26">
        <v>3000</v>
      </c>
      <c r="G131" s="246">
        <f>G132+G133</f>
        <v>4417.3500000000004</v>
      </c>
      <c r="H131" s="252">
        <f t="shared" si="1"/>
        <v>147.245</v>
      </c>
    </row>
    <row r="132" spans="2:8" s="27" customFormat="1" ht="30" customHeight="1">
      <c r="B132" s="214"/>
      <c r="C132" s="215"/>
      <c r="D132" s="216">
        <v>3295</v>
      </c>
      <c r="E132" s="28" t="s">
        <v>41</v>
      </c>
      <c r="F132" s="26"/>
      <c r="G132" s="246">
        <v>2496</v>
      </c>
      <c r="H132" s="252"/>
    </row>
    <row r="133" spans="2:8" s="27" customFormat="1" ht="30" customHeight="1">
      <c r="B133" s="214"/>
      <c r="C133" s="215"/>
      <c r="D133" s="216">
        <v>3299</v>
      </c>
      <c r="E133" s="31" t="s">
        <v>11</v>
      </c>
      <c r="F133" s="26"/>
      <c r="G133" s="246">
        <v>1921.35</v>
      </c>
      <c r="H133" s="252"/>
    </row>
    <row r="134" spans="2:8" s="27" customFormat="1" ht="30" customHeight="1">
      <c r="B134" s="214">
        <v>34</v>
      </c>
      <c r="C134" s="215"/>
      <c r="D134" s="216"/>
      <c r="E134" s="31" t="s">
        <v>12</v>
      </c>
      <c r="F134" s="26">
        <f>F135</f>
        <v>0</v>
      </c>
      <c r="G134" s="246">
        <f>G135</f>
        <v>0</v>
      </c>
      <c r="H134" s="252"/>
    </row>
    <row r="135" spans="2:8" s="27" customFormat="1" ht="30" customHeight="1">
      <c r="B135" s="214"/>
      <c r="C135" s="215">
        <v>343</v>
      </c>
      <c r="D135" s="216"/>
      <c r="E135" s="31" t="s">
        <v>13</v>
      </c>
      <c r="F135" s="26">
        <v>0</v>
      </c>
      <c r="G135" s="246">
        <v>0</v>
      </c>
      <c r="H135" s="252"/>
    </row>
    <row r="136" spans="2:8" s="27" customFormat="1" ht="30" customHeight="1">
      <c r="B136" s="214">
        <v>37</v>
      </c>
      <c r="C136" s="215"/>
      <c r="D136" s="216"/>
      <c r="E136" s="31" t="s">
        <v>246</v>
      </c>
      <c r="F136" s="26">
        <f>F137</f>
        <v>1000</v>
      </c>
      <c r="G136" s="246">
        <f>G137</f>
        <v>584</v>
      </c>
      <c r="H136" s="252">
        <f t="shared" si="1"/>
        <v>58.4</v>
      </c>
    </row>
    <row r="137" spans="2:8" s="27" customFormat="1" ht="30" customHeight="1">
      <c r="B137" s="214"/>
      <c r="C137" s="215">
        <v>372</v>
      </c>
      <c r="D137" s="216"/>
      <c r="E137" s="31" t="s">
        <v>132</v>
      </c>
      <c r="F137" s="26">
        <v>1000</v>
      </c>
      <c r="G137" s="246">
        <f>G138</f>
        <v>584</v>
      </c>
      <c r="H137" s="252">
        <f t="shared" ref="H137:H199" si="2">G137/F137*100</f>
        <v>58.4</v>
      </c>
    </row>
    <row r="138" spans="2:8" s="27" customFormat="1" ht="30" customHeight="1">
      <c r="B138" s="214"/>
      <c r="C138" s="215"/>
      <c r="D138" s="216">
        <v>3721</v>
      </c>
      <c r="E138" s="31" t="s">
        <v>247</v>
      </c>
      <c r="F138" s="26"/>
      <c r="G138" s="246">
        <v>584</v>
      </c>
      <c r="H138" s="252"/>
    </row>
    <row r="139" spans="2:8" s="27" customFormat="1" ht="30" customHeight="1">
      <c r="B139" s="214">
        <v>42</v>
      </c>
      <c r="C139" s="215"/>
      <c r="D139" s="216"/>
      <c r="E139" s="28" t="s">
        <v>15</v>
      </c>
      <c r="F139" s="26">
        <f>F140</f>
        <v>0</v>
      </c>
      <c r="G139" s="246">
        <f>G140</f>
        <v>0</v>
      </c>
      <c r="H139" s="252"/>
    </row>
    <row r="140" spans="2:8" s="27" customFormat="1" ht="30" customHeight="1">
      <c r="B140" s="214"/>
      <c r="C140" s="215">
        <v>424</v>
      </c>
      <c r="D140" s="216"/>
      <c r="E140" s="28" t="s">
        <v>230</v>
      </c>
      <c r="F140" s="26">
        <v>0</v>
      </c>
      <c r="G140" s="246">
        <v>0</v>
      </c>
      <c r="H140" s="252"/>
    </row>
    <row r="141" spans="2:8" s="27" customFormat="1" ht="30" customHeight="1">
      <c r="B141" s="29" t="s">
        <v>174</v>
      </c>
      <c r="C141" s="30"/>
      <c r="D141" s="25"/>
      <c r="E141" s="31" t="s">
        <v>224</v>
      </c>
      <c r="F141" s="26">
        <f>F142+F144</f>
        <v>0</v>
      </c>
      <c r="G141" s="246">
        <f>G142+G144</f>
        <v>0</v>
      </c>
      <c r="H141" s="252"/>
    </row>
    <row r="142" spans="2:8" s="27" customFormat="1" ht="30" customHeight="1">
      <c r="B142" s="29">
        <v>31</v>
      </c>
      <c r="C142" s="30"/>
      <c r="D142" s="25"/>
      <c r="E142" s="31" t="s">
        <v>0</v>
      </c>
      <c r="F142" s="26">
        <v>0</v>
      </c>
      <c r="G142" s="246">
        <f>G143</f>
        <v>0</v>
      </c>
      <c r="H142" s="252"/>
    </row>
    <row r="143" spans="2:8" s="27" customFormat="1" ht="30" customHeight="1">
      <c r="B143" s="29"/>
      <c r="C143" s="30"/>
      <c r="D143" s="25">
        <v>312</v>
      </c>
      <c r="E143" s="31" t="s">
        <v>166</v>
      </c>
      <c r="F143" s="26"/>
      <c r="G143" s="246">
        <v>0</v>
      </c>
      <c r="H143" s="252"/>
    </row>
    <row r="144" spans="2:8" s="27" customFormat="1" ht="30" customHeight="1">
      <c r="B144" s="29">
        <v>32</v>
      </c>
      <c r="C144" s="30"/>
      <c r="D144" s="25"/>
      <c r="E144" s="31" t="s">
        <v>4</v>
      </c>
      <c r="F144" s="26">
        <v>0</v>
      </c>
      <c r="G144" s="246">
        <f>G145</f>
        <v>0</v>
      </c>
      <c r="H144" s="252"/>
    </row>
    <row r="145" spans="2:10" s="27" customFormat="1" ht="30" customHeight="1" thickBot="1">
      <c r="B145" s="136"/>
      <c r="C145" s="137"/>
      <c r="D145" s="138">
        <v>329</v>
      </c>
      <c r="E145" s="254" t="s">
        <v>11</v>
      </c>
      <c r="F145" s="139"/>
      <c r="G145" s="255">
        <v>0</v>
      </c>
      <c r="H145" s="256"/>
    </row>
    <row r="146" spans="2:10" s="27" customFormat="1" ht="30" customHeight="1" thickBot="1">
      <c r="B146" s="329" t="s">
        <v>93</v>
      </c>
      <c r="C146" s="330"/>
      <c r="D146" s="331"/>
      <c r="E146" s="229" t="s">
        <v>94</v>
      </c>
      <c r="F146" s="178">
        <f>F147+F152+F148+F149+F151+F150</f>
        <v>92690</v>
      </c>
      <c r="G146" s="244">
        <f>G147+G152+G148+G149+G151+G150</f>
        <v>87182.080000000016</v>
      </c>
      <c r="H146" s="258">
        <f t="shared" si="2"/>
        <v>94.057697702017492</v>
      </c>
      <c r="J146" s="34"/>
    </row>
    <row r="147" spans="2:10" s="27" customFormat="1" ht="30" customHeight="1">
      <c r="B147" s="332" t="s">
        <v>84</v>
      </c>
      <c r="C147" s="333"/>
      <c r="D147" s="334"/>
      <c r="E147" s="176" t="s">
        <v>85</v>
      </c>
      <c r="F147" s="177">
        <f>7294+1000+9195</f>
        <v>17489</v>
      </c>
      <c r="G147" s="245">
        <f>7293.61+984+9179.32</f>
        <v>17456.93</v>
      </c>
      <c r="H147" s="257">
        <f t="shared" si="2"/>
        <v>99.816627594487954</v>
      </c>
    </row>
    <row r="148" spans="2:10" s="27" customFormat="1" ht="30" customHeight="1">
      <c r="B148" s="29" t="s">
        <v>211</v>
      </c>
      <c r="C148" s="30"/>
      <c r="D148" s="25"/>
      <c r="E148" s="25" t="s">
        <v>212</v>
      </c>
      <c r="F148" s="33">
        <f>7061</f>
        <v>7061</v>
      </c>
      <c r="G148" s="246">
        <f>6451.41</f>
        <v>6451.41</v>
      </c>
      <c r="H148" s="252">
        <f t="shared" si="2"/>
        <v>91.366803568899584</v>
      </c>
    </row>
    <row r="149" spans="2:10" s="27" customFormat="1" ht="30" customHeight="1">
      <c r="B149" s="29" t="s">
        <v>95</v>
      </c>
      <c r="C149" s="30"/>
      <c r="D149" s="25"/>
      <c r="E149" s="28" t="s">
        <v>96</v>
      </c>
      <c r="F149" s="33">
        <f>4000+15000</f>
        <v>19000</v>
      </c>
      <c r="G149" s="246">
        <f>1922+16350</f>
        <v>18272</v>
      </c>
      <c r="H149" s="252">
        <f t="shared" si="2"/>
        <v>96.168421052631587</v>
      </c>
    </row>
    <row r="150" spans="2:10" s="27" customFormat="1" ht="30" customHeight="1">
      <c r="B150" s="29" t="s">
        <v>213</v>
      </c>
      <c r="C150" s="30"/>
      <c r="D150" s="25"/>
      <c r="E150" s="28" t="s">
        <v>214</v>
      </c>
      <c r="F150" s="33">
        <v>0</v>
      </c>
      <c r="G150" s="246">
        <v>0</v>
      </c>
      <c r="H150" s="252"/>
    </row>
    <row r="151" spans="2:10" s="27" customFormat="1" ht="30" customHeight="1">
      <c r="B151" s="29" t="s">
        <v>207</v>
      </c>
      <c r="C151" s="30"/>
      <c r="D151" s="25"/>
      <c r="E151" s="28" t="s">
        <v>208</v>
      </c>
      <c r="F151" s="26">
        <f>22887</f>
        <v>22887</v>
      </c>
      <c r="G151" s="246">
        <f>20819.07</f>
        <v>20819.07</v>
      </c>
      <c r="H151" s="252">
        <f t="shared" si="2"/>
        <v>90.964608729846645</v>
      </c>
    </row>
    <row r="152" spans="2:10" s="27" customFormat="1" ht="30" customHeight="1">
      <c r="B152" s="318" t="s">
        <v>87</v>
      </c>
      <c r="C152" s="319"/>
      <c r="D152" s="320"/>
      <c r="E152" s="28" t="s">
        <v>89</v>
      </c>
      <c r="F152" s="26">
        <f>6100+20000+153</f>
        <v>26253</v>
      </c>
      <c r="G152" s="246">
        <f>5953.29+18076.38+153</f>
        <v>24182.670000000002</v>
      </c>
      <c r="H152" s="252">
        <f t="shared" si="2"/>
        <v>92.113929836590117</v>
      </c>
    </row>
    <row r="153" spans="2:10" s="27" customFormat="1" ht="30" customHeight="1">
      <c r="B153" s="321" t="s">
        <v>97</v>
      </c>
      <c r="C153" s="322"/>
      <c r="D153" s="323"/>
      <c r="E153" s="234" t="s">
        <v>98</v>
      </c>
      <c r="F153" s="230">
        <f t="shared" ref="F153:G155" si="3">F154</f>
        <v>7294</v>
      </c>
      <c r="G153" s="250">
        <f t="shared" si="3"/>
        <v>7293.61</v>
      </c>
      <c r="H153" s="252">
        <f t="shared" si="2"/>
        <v>99.994653139566765</v>
      </c>
    </row>
    <row r="154" spans="2:10" s="27" customFormat="1" ht="30" customHeight="1">
      <c r="B154" s="29" t="s">
        <v>84</v>
      </c>
      <c r="C154" s="137"/>
      <c r="D154" s="138"/>
      <c r="E154" s="25" t="s">
        <v>202</v>
      </c>
      <c r="F154" s="26">
        <f t="shared" si="3"/>
        <v>7294</v>
      </c>
      <c r="G154" s="246">
        <f t="shared" si="3"/>
        <v>7293.61</v>
      </c>
      <c r="H154" s="252">
        <f t="shared" si="2"/>
        <v>99.994653139566765</v>
      </c>
    </row>
    <row r="155" spans="2:10" s="27" customFormat="1" ht="30" customHeight="1">
      <c r="B155" s="341">
        <v>37</v>
      </c>
      <c r="C155" s="342"/>
      <c r="D155" s="342"/>
      <c r="E155" s="28" t="s">
        <v>99</v>
      </c>
      <c r="F155" s="26">
        <f t="shared" si="3"/>
        <v>7294</v>
      </c>
      <c r="G155" s="246">
        <f t="shared" si="3"/>
        <v>7293.61</v>
      </c>
      <c r="H155" s="252">
        <f t="shared" si="2"/>
        <v>99.994653139566765</v>
      </c>
    </row>
    <row r="156" spans="2:10" s="27" customFormat="1" ht="30" customHeight="1">
      <c r="B156" s="29"/>
      <c r="C156" s="137">
        <v>372</v>
      </c>
      <c r="D156" s="138"/>
      <c r="E156" s="31" t="s">
        <v>132</v>
      </c>
      <c r="F156" s="26">
        <v>7294</v>
      </c>
      <c r="G156" s="246">
        <f>G157</f>
        <v>7293.61</v>
      </c>
      <c r="H156" s="252">
        <f t="shared" si="2"/>
        <v>99.994653139566765</v>
      </c>
    </row>
    <row r="157" spans="2:10" s="27" customFormat="1" ht="30" customHeight="1">
      <c r="B157" s="140"/>
      <c r="C157" s="141"/>
      <c r="D157" s="25">
        <v>3722</v>
      </c>
      <c r="E157" s="31" t="s">
        <v>54</v>
      </c>
      <c r="F157" s="26"/>
      <c r="G157" s="246">
        <v>7293.61</v>
      </c>
      <c r="H157" s="252"/>
    </row>
    <row r="158" spans="2:10" s="27" customFormat="1" ht="30" customHeight="1">
      <c r="B158" s="321" t="s">
        <v>231</v>
      </c>
      <c r="C158" s="322"/>
      <c r="D158" s="323"/>
      <c r="E158" s="232" t="s">
        <v>232</v>
      </c>
      <c r="F158" s="230">
        <f>F159</f>
        <v>1000</v>
      </c>
      <c r="G158" s="250">
        <f>G159</f>
        <v>984</v>
      </c>
      <c r="H158" s="252">
        <f t="shared" si="2"/>
        <v>98.4</v>
      </c>
    </row>
    <row r="159" spans="2:10" s="27" customFormat="1" ht="30" customHeight="1">
      <c r="B159" s="140" t="s">
        <v>84</v>
      </c>
      <c r="C159" s="141"/>
      <c r="D159" s="25"/>
      <c r="E159" s="31" t="s">
        <v>202</v>
      </c>
      <c r="F159" s="26">
        <f>F160+F162</f>
        <v>1000</v>
      </c>
      <c r="G159" s="246">
        <f>G160+G162</f>
        <v>984</v>
      </c>
      <c r="H159" s="252">
        <f t="shared" si="2"/>
        <v>98.4</v>
      </c>
    </row>
    <row r="160" spans="2:10" s="27" customFormat="1" ht="30" customHeight="1">
      <c r="B160" s="29">
        <v>31</v>
      </c>
      <c r="C160" s="141"/>
      <c r="D160" s="25"/>
      <c r="E160" s="31" t="s">
        <v>0</v>
      </c>
      <c r="F160" s="26">
        <f>F161</f>
        <v>0</v>
      </c>
      <c r="G160" s="246">
        <f>G161</f>
        <v>0</v>
      </c>
      <c r="H160" s="252"/>
    </row>
    <row r="161" spans="2:8" s="27" customFormat="1" ht="30" customHeight="1">
      <c r="B161" s="140"/>
      <c r="C161" s="141">
        <v>311</v>
      </c>
      <c r="D161" s="25"/>
      <c r="E161" s="31" t="s">
        <v>229</v>
      </c>
      <c r="F161" s="26">
        <v>0</v>
      </c>
      <c r="G161" s="246">
        <v>0</v>
      </c>
      <c r="H161" s="252"/>
    </row>
    <row r="162" spans="2:8" s="27" customFormat="1" ht="30" customHeight="1">
      <c r="B162" s="29">
        <v>32</v>
      </c>
      <c r="C162" s="141"/>
      <c r="D162" s="25"/>
      <c r="E162" s="31" t="s">
        <v>4</v>
      </c>
      <c r="F162" s="26">
        <f>F163+F164</f>
        <v>1000</v>
      </c>
      <c r="G162" s="246">
        <f>G163+G164</f>
        <v>984</v>
      </c>
      <c r="H162" s="252">
        <f t="shared" si="2"/>
        <v>98.4</v>
      </c>
    </row>
    <row r="163" spans="2:8" s="27" customFormat="1" ht="30" customHeight="1">
      <c r="B163" s="140"/>
      <c r="C163" s="141">
        <v>321</v>
      </c>
      <c r="D163" s="25"/>
      <c r="E163" s="31" t="s">
        <v>5</v>
      </c>
      <c r="F163" s="26">
        <v>0</v>
      </c>
      <c r="G163" s="246">
        <v>0</v>
      </c>
      <c r="H163" s="252"/>
    </row>
    <row r="164" spans="2:8" s="27" customFormat="1" ht="30" customHeight="1">
      <c r="B164" s="140"/>
      <c r="C164" s="141">
        <v>322</v>
      </c>
      <c r="D164" s="25"/>
      <c r="E164" s="31" t="s">
        <v>7</v>
      </c>
      <c r="F164" s="26">
        <v>1000</v>
      </c>
      <c r="G164" s="246">
        <f>G165</f>
        <v>984</v>
      </c>
      <c r="H164" s="252">
        <f t="shared" si="2"/>
        <v>98.4</v>
      </c>
    </row>
    <row r="165" spans="2:8" s="27" customFormat="1" ht="30" customHeight="1">
      <c r="B165" s="140"/>
      <c r="C165" s="141"/>
      <c r="D165" s="216">
        <v>3225</v>
      </c>
      <c r="E165" s="31" t="s">
        <v>49</v>
      </c>
      <c r="F165" s="26"/>
      <c r="G165" s="246">
        <v>984</v>
      </c>
      <c r="H165" s="252"/>
    </row>
    <row r="166" spans="2:8" ht="30" customHeight="1">
      <c r="B166" s="321" t="s">
        <v>100</v>
      </c>
      <c r="C166" s="322"/>
      <c r="D166" s="323"/>
      <c r="E166" s="235" t="s">
        <v>101</v>
      </c>
      <c r="F166" s="230">
        <f t="shared" ref="F166:G171" si="4">F167</f>
        <v>6100</v>
      </c>
      <c r="G166" s="250">
        <f t="shared" si="4"/>
        <v>5953.29</v>
      </c>
      <c r="H166" s="252">
        <f t="shared" si="2"/>
        <v>97.594918032786879</v>
      </c>
    </row>
    <row r="167" spans="2:8" ht="30" customHeight="1">
      <c r="B167" s="29" t="s">
        <v>87</v>
      </c>
      <c r="C167" s="30"/>
      <c r="D167" s="25"/>
      <c r="E167" s="28" t="s">
        <v>219</v>
      </c>
      <c r="F167" s="26">
        <f>F171+F168</f>
        <v>6100</v>
      </c>
      <c r="G167" s="246">
        <f>G171+G168</f>
        <v>5953.29</v>
      </c>
      <c r="H167" s="252">
        <f t="shared" si="2"/>
        <v>97.594918032786879</v>
      </c>
    </row>
    <row r="168" spans="2:8" ht="30" customHeight="1">
      <c r="B168" s="214">
        <v>37</v>
      </c>
      <c r="C168" s="215"/>
      <c r="D168" s="216"/>
      <c r="E168" s="28" t="s">
        <v>99</v>
      </c>
      <c r="F168" s="26">
        <f>F169</f>
        <v>0</v>
      </c>
      <c r="G168" s="246">
        <f>G169</f>
        <v>5406.7</v>
      </c>
      <c r="H168" s="252"/>
    </row>
    <row r="169" spans="2:8" ht="30" customHeight="1">
      <c r="B169" s="214"/>
      <c r="C169" s="215">
        <v>372</v>
      </c>
      <c r="D169" s="216"/>
      <c r="E169" s="31" t="s">
        <v>132</v>
      </c>
      <c r="F169" s="26">
        <v>0</v>
      </c>
      <c r="G169" s="246">
        <f>G170</f>
        <v>5406.7</v>
      </c>
      <c r="H169" s="252"/>
    </row>
    <row r="170" spans="2:8" ht="30" customHeight="1">
      <c r="B170" s="214"/>
      <c r="C170" s="215"/>
      <c r="D170" s="216">
        <v>3722</v>
      </c>
      <c r="E170" s="31" t="s">
        <v>54</v>
      </c>
      <c r="F170" s="26"/>
      <c r="G170" s="246">
        <v>5406.7</v>
      </c>
      <c r="H170" s="252"/>
    </row>
    <row r="171" spans="2:8" ht="30" customHeight="1">
      <c r="B171" s="318">
        <v>42</v>
      </c>
      <c r="C171" s="319"/>
      <c r="D171" s="320"/>
      <c r="E171" s="28" t="s">
        <v>92</v>
      </c>
      <c r="F171" s="26">
        <f t="shared" si="4"/>
        <v>6100</v>
      </c>
      <c r="G171" s="246">
        <f t="shared" si="4"/>
        <v>546.59</v>
      </c>
      <c r="H171" s="252">
        <f t="shared" si="2"/>
        <v>8.9604918032786891</v>
      </c>
    </row>
    <row r="172" spans="2:8" ht="30" customHeight="1">
      <c r="B172" s="29"/>
      <c r="C172" s="30">
        <v>424</v>
      </c>
      <c r="D172" s="25"/>
      <c r="E172" s="28" t="s">
        <v>230</v>
      </c>
      <c r="F172" s="26">
        <v>6100</v>
      </c>
      <c r="G172" s="246">
        <f>G173</f>
        <v>546.59</v>
      </c>
      <c r="H172" s="252">
        <f t="shared" si="2"/>
        <v>8.9604918032786891</v>
      </c>
    </row>
    <row r="173" spans="2:8" ht="30" customHeight="1">
      <c r="B173" s="29"/>
      <c r="C173" s="30"/>
      <c r="D173" s="25">
        <v>4241</v>
      </c>
      <c r="E173" s="28" t="s">
        <v>53</v>
      </c>
      <c r="F173" s="26"/>
      <c r="G173" s="246">
        <v>546.59</v>
      </c>
      <c r="H173" s="252"/>
    </row>
    <row r="174" spans="2:8" ht="30" customHeight="1">
      <c r="B174" s="321" t="s">
        <v>102</v>
      </c>
      <c r="C174" s="322"/>
      <c r="D174" s="323"/>
      <c r="E174" s="235" t="s">
        <v>103</v>
      </c>
      <c r="F174" s="230">
        <f>F175+F182</f>
        <v>4000</v>
      </c>
      <c r="G174" s="250">
        <f>G175+G182</f>
        <v>1922</v>
      </c>
      <c r="H174" s="252">
        <f t="shared" si="2"/>
        <v>48.05</v>
      </c>
    </row>
    <row r="175" spans="2:8" ht="30" customHeight="1">
      <c r="B175" s="29" t="s">
        <v>95</v>
      </c>
      <c r="C175" s="30"/>
      <c r="D175" s="25"/>
      <c r="E175" s="28" t="s">
        <v>96</v>
      </c>
      <c r="F175" s="26">
        <f>F176</f>
        <v>4000</v>
      </c>
      <c r="G175" s="246">
        <f>G176</f>
        <v>1922</v>
      </c>
      <c r="H175" s="252">
        <f t="shared" si="2"/>
        <v>48.05</v>
      </c>
    </row>
    <row r="176" spans="2:8" ht="30" customHeight="1">
      <c r="B176" s="318">
        <v>32</v>
      </c>
      <c r="C176" s="319"/>
      <c r="D176" s="320"/>
      <c r="E176" s="28" t="s">
        <v>4</v>
      </c>
      <c r="F176" s="26">
        <f>F177+F180</f>
        <v>4000</v>
      </c>
      <c r="G176" s="246">
        <f>G177++G180</f>
        <v>1922</v>
      </c>
      <c r="H176" s="252">
        <f t="shared" si="2"/>
        <v>48.05</v>
      </c>
    </row>
    <row r="177" spans="2:8" ht="30" customHeight="1">
      <c r="B177" s="29"/>
      <c r="C177" s="30">
        <v>323</v>
      </c>
      <c r="D177" s="25"/>
      <c r="E177" s="28" t="s">
        <v>9</v>
      </c>
      <c r="F177" s="26">
        <v>1500</v>
      </c>
      <c r="G177" s="246">
        <f>G178+G179</f>
        <v>1375</v>
      </c>
      <c r="H177" s="252">
        <f t="shared" si="2"/>
        <v>91.666666666666657</v>
      </c>
    </row>
    <row r="178" spans="2:8" ht="30" customHeight="1">
      <c r="B178" s="29"/>
      <c r="C178" s="30"/>
      <c r="D178" s="172">
        <v>3231</v>
      </c>
      <c r="E178" s="28" t="s">
        <v>33</v>
      </c>
      <c r="F178" s="26"/>
      <c r="G178" s="246">
        <v>1150</v>
      </c>
      <c r="H178" s="252"/>
    </row>
    <row r="179" spans="2:8" ht="30" customHeight="1">
      <c r="B179" s="214"/>
      <c r="C179" s="215"/>
      <c r="D179" s="203">
        <v>3232</v>
      </c>
      <c r="E179" s="28" t="s">
        <v>35</v>
      </c>
      <c r="F179" s="26"/>
      <c r="G179" s="246">
        <v>225</v>
      </c>
      <c r="H179" s="252"/>
    </row>
    <row r="180" spans="2:8" ht="30" customHeight="1">
      <c r="B180" s="29"/>
      <c r="C180" s="30">
        <v>329</v>
      </c>
      <c r="D180" s="203"/>
      <c r="E180" s="28" t="s">
        <v>11</v>
      </c>
      <c r="F180" s="26">
        <v>2500</v>
      </c>
      <c r="G180" s="246">
        <f>SUM(G181:G181)</f>
        <v>547</v>
      </c>
      <c r="H180" s="252">
        <f t="shared" si="2"/>
        <v>21.88</v>
      </c>
    </row>
    <row r="181" spans="2:8" ht="30" customHeight="1">
      <c r="B181" s="29"/>
      <c r="C181" s="30"/>
      <c r="D181" s="25">
        <v>3299</v>
      </c>
      <c r="E181" s="28" t="s">
        <v>11</v>
      </c>
      <c r="F181" s="26"/>
      <c r="G181" s="246">
        <v>547</v>
      </c>
      <c r="H181" s="252"/>
    </row>
    <row r="182" spans="2:8" ht="30" customHeight="1">
      <c r="B182" s="29" t="s">
        <v>213</v>
      </c>
      <c r="C182" s="30"/>
      <c r="D182" s="25"/>
      <c r="E182" s="28" t="s">
        <v>214</v>
      </c>
      <c r="F182" s="26">
        <v>0</v>
      </c>
      <c r="G182" s="246">
        <f>G183</f>
        <v>0</v>
      </c>
      <c r="H182" s="252"/>
    </row>
    <row r="183" spans="2:8" ht="30" customHeight="1">
      <c r="B183" s="29">
        <v>32</v>
      </c>
      <c r="C183" s="30"/>
      <c r="D183" s="25"/>
      <c r="E183" s="28" t="s">
        <v>4</v>
      </c>
      <c r="F183" s="26"/>
      <c r="G183" s="246">
        <f>G184</f>
        <v>0</v>
      </c>
      <c r="H183" s="252"/>
    </row>
    <row r="184" spans="2:8" ht="30" customHeight="1">
      <c r="B184" s="29"/>
      <c r="C184" s="30"/>
      <c r="D184" s="25">
        <v>329</v>
      </c>
      <c r="E184" s="28" t="s">
        <v>11</v>
      </c>
      <c r="F184" s="26"/>
      <c r="G184" s="246">
        <v>0</v>
      </c>
      <c r="H184" s="252"/>
    </row>
    <row r="185" spans="2:8" ht="30" customHeight="1">
      <c r="B185" s="321" t="s">
        <v>104</v>
      </c>
      <c r="C185" s="322"/>
      <c r="D185" s="323"/>
      <c r="E185" s="235" t="s">
        <v>105</v>
      </c>
      <c r="F185" s="230">
        <f>F186</f>
        <v>7061</v>
      </c>
      <c r="G185" s="250">
        <f>G186</f>
        <v>6451.41</v>
      </c>
      <c r="H185" s="252">
        <f t="shared" si="2"/>
        <v>91.366803568899584</v>
      </c>
    </row>
    <row r="186" spans="2:8" ht="30" customHeight="1">
      <c r="B186" s="29" t="s">
        <v>211</v>
      </c>
      <c r="C186" s="30"/>
      <c r="D186" s="25"/>
      <c r="E186" s="28" t="s">
        <v>212</v>
      </c>
      <c r="F186" s="26">
        <f>F187+F191+F205+F208</f>
        <v>7061</v>
      </c>
      <c r="G186" s="246">
        <f>G187+G191+G205+G208</f>
        <v>6451.41</v>
      </c>
      <c r="H186" s="252">
        <f t="shared" si="2"/>
        <v>91.366803568899584</v>
      </c>
    </row>
    <row r="187" spans="2:8" ht="30" customHeight="1">
      <c r="B187" s="29">
        <v>31</v>
      </c>
      <c r="C187" s="30"/>
      <c r="D187" s="25"/>
      <c r="E187" s="171" t="s">
        <v>0</v>
      </c>
      <c r="F187" s="26">
        <f>F188+F189+F190</f>
        <v>150</v>
      </c>
      <c r="G187" s="246">
        <f>G188+G189+G190</f>
        <v>0</v>
      </c>
      <c r="H187" s="252">
        <f t="shared" si="2"/>
        <v>0</v>
      </c>
    </row>
    <row r="188" spans="2:8" ht="30" customHeight="1">
      <c r="B188" s="29"/>
      <c r="C188" s="30">
        <v>311</v>
      </c>
      <c r="D188" s="25"/>
      <c r="E188" s="28" t="s">
        <v>229</v>
      </c>
      <c r="F188" s="26">
        <v>50</v>
      </c>
      <c r="G188" s="246">
        <v>0</v>
      </c>
      <c r="H188" s="252">
        <f t="shared" si="2"/>
        <v>0</v>
      </c>
    </row>
    <row r="189" spans="2:8" ht="30" customHeight="1">
      <c r="B189" s="29"/>
      <c r="C189" s="30">
        <v>312</v>
      </c>
      <c r="D189" s="25"/>
      <c r="E189" s="28" t="s">
        <v>166</v>
      </c>
      <c r="F189" s="26">
        <v>50</v>
      </c>
      <c r="G189" s="246">
        <v>0</v>
      </c>
      <c r="H189" s="252">
        <f t="shared" si="2"/>
        <v>0</v>
      </c>
    </row>
    <row r="190" spans="2:8" ht="30" customHeight="1">
      <c r="B190" s="29"/>
      <c r="C190" s="30">
        <v>313</v>
      </c>
      <c r="D190" s="25"/>
      <c r="E190" s="28" t="s">
        <v>3</v>
      </c>
      <c r="F190" s="26">
        <v>50</v>
      </c>
      <c r="G190" s="246">
        <v>0</v>
      </c>
      <c r="H190" s="252">
        <f t="shared" si="2"/>
        <v>0</v>
      </c>
    </row>
    <row r="191" spans="2:8" ht="30" customHeight="1">
      <c r="B191" s="318">
        <v>32</v>
      </c>
      <c r="C191" s="319"/>
      <c r="D191" s="320"/>
      <c r="E191" s="28" t="s">
        <v>4</v>
      </c>
      <c r="F191" s="26">
        <f>F192+F194+F199+F202</f>
        <v>4250</v>
      </c>
      <c r="G191" s="246">
        <f>G192+G194+G199+G202</f>
        <v>3591.17</v>
      </c>
      <c r="H191" s="252">
        <f t="shared" si="2"/>
        <v>84.49811764705882</v>
      </c>
    </row>
    <row r="192" spans="2:8" ht="30" customHeight="1">
      <c r="B192" s="29"/>
      <c r="C192" s="30">
        <v>321</v>
      </c>
      <c r="D192" s="25"/>
      <c r="E192" s="28" t="s">
        <v>5</v>
      </c>
      <c r="F192" s="26">
        <v>50</v>
      </c>
      <c r="G192" s="246">
        <f>G193</f>
        <v>0</v>
      </c>
      <c r="H192" s="252">
        <f t="shared" si="2"/>
        <v>0</v>
      </c>
    </row>
    <row r="193" spans="2:8" ht="30" customHeight="1">
      <c r="B193" s="29"/>
      <c r="C193" s="30"/>
      <c r="D193" s="25">
        <v>3211</v>
      </c>
      <c r="E193" s="28" t="s">
        <v>25</v>
      </c>
      <c r="F193" s="26"/>
      <c r="G193" s="246">
        <v>0</v>
      </c>
      <c r="H193" s="252"/>
    </row>
    <row r="194" spans="2:8" ht="30" customHeight="1">
      <c r="B194" s="29"/>
      <c r="C194" s="30">
        <v>322</v>
      </c>
      <c r="D194" s="25"/>
      <c r="E194" s="31" t="s">
        <v>7</v>
      </c>
      <c r="F194" s="26">
        <v>2000</v>
      </c>
      <c r="G194" s="246">
        <f>SUM(G195:G198)</f>
        <v>1887.49</v>
      </c>
      <c r="H194" s="252">
        <f t="shared" si="2"/>
        <v>94.374500000000012</v>
      </c>
    </row>
    <row r="195" spans="2:8" ht="30" customHeight="1">
      <c r="B195" s="29"/>
      <c r="C195" s="30"/>
      <c r="D195" s="25">
        <v>3221</v>
      </c>
      <c r="E195" s="28" t="s">
        <v>7</v>
      </c>
      <c r="F195" s="26"/>
      <c r="G195" s="246">
        <v>443.41</v>
      </c>
      <c r="H195" s="252"/>
    </row>
    <row r="196" spans="2:8" ht="30" customHeight="1">
      <c r="B196" s="29"/>
      <c r="C196" s="30"/>
      <c r="D196" s="25">
        <v>3222</v>
      </c>
      <c r="E196" s="28" t="s">
        <v>48</v>
      </c>
      <c r="F196" s="26"/>
      <c r="G196" s="246">
        <v>11.5</v>
      </c>
      <c r="H196" s="252"/>
    </row>
    <row r="197" spans="2:8" ht="30" customHeight="1">
      <c r="B197" s="29"/>
      <c r="C197" s="30"/>
      <c r="D197" s="25">
        <v>3224</v>
      </c>
      <c r="E197" s="28" t="s">
        <v>31</v>
      </c>
      <c r="F197" s="26"/>
      <c r="G197" s="246">
        <v>178.79</v>
      </c>
      <c r="H197" s="252"/>
    </row>
    <row r="198" spans="2:8" ht="30" customHeight="1">
      <c r="B198" s="214"/>
      <c r="C198" s="215"/>
      <c r="D198" s="216">
        <v>3225</v>
      </c>
      <c r="E198" s="28" t="s">
        <v>49</v>
      </c>
      <c r="F198" s="26"/>
      <c r="G198" s="246">
        <v>1253.79</v>
      </c>
      <c r="H198" s="252"/>
    </row>
    <row r="199" spans="2:8" ht="30" customHeight="1">
      <c r="B199" s="29"/>
      <c r="C199" s="30">
        <v>323</v>
      </c>
      <c r="D199" s="25"/>
      <c r="E199" s="28" t="s">
        <v>9</v>
      </c>
      <c r="F199" s="26">
        <v>100</v>
      </c>
      <c r="G199" s="246">
        <f>SUM(G200:G201)</f>
        <v>154.34</v>
      </c>
      <c r="H199" s="252">
        <f t="shared" si="2"/>
        <v>154.34</v>
      </c>
    </row>
    <row r="200" spans="2:8" ht="30" customHeight="1">
      <c r="B200" s="29"/>
      <c r="C200" s="30"/>
      <c r="D200" s="25">
        <v>3237</v>
      </c>
      <c r="E200" s="28" t="s">
        <v>50</v>
      </c>
      <c r="F200" s="26"/>
      <c r="G200" s="246">
        <v>149.34</v>
      </c>
      <c r="H200" s="252"/>
    </row>
    <row r="201" spans="2:8" ht="30" customHeight="1">
      <c r="B201" s="29"/>
      <c r="C201" s="30"/>
      <c r="D201" s="25">
        <v>3239</v>
      </c>
      <c r="E201" s="28" t="s">
        <v>10</v>
      </c>
      <c r="F201" s="26"/>
      <c r="G201" s="246">
        <v>5</v>
      </c>
      <c r="H201" s="252"/>
    </row>
    <row r="202" spans="2:8" ht="30" customHeight="1">
      <c r="B202" s="29"/>
      <c r="C202" s="30">
        <v>329</v>
      </c>
      <c r="D202" s="25"/>
      <c r="E202" s="28" t="s">
        <v>11</v>
      </c>
      <c r="F202" s="26">
        <v>2100</v>
      </c>
      <c r="G202" s="246">
        <f>SUM(G203:G204)</f>
        <v>1549.34</v>
      </c>
      <c r="H202" s="252">
        <f t="shared" ref="H202:H248" si="5">G202/F202*100</f>
        <v>73.778095238095233</v>
      </c>
    </row>
    <row r="203" spans="2:8" ht="30" customHeight="1">
      <c r="B203" s="29"/>
      <c r="C203" s="30"/>
      <c r="D203" s="25">
        <v>3293</v>
      </c>
      <c r="E203" s="28" t="s">
        <v>193</v>
      </c>
      <c r="F203" s="26"/>
      <c r="G203" s="246">
        <v>1166.04</v>
      </c>
      <c r="H203" s="252"/>
    </row>
    <row r="204" spans="2:8" ht="30" customHeight="1">
      <c r="B204" s="29"/>
      <c r="C204" s="30"/>
      <c r="D204" s="25">
        <v>3299</v>
      </c>
      <c r="E204" s="28" t="s">
        <v>11</v>
      </c>
      <c r="F204" s="26"/>
      <c r="G204" s="246">
        <v>383.3</v>
      </c>
      <c r="H204" s="252"/>
    </row>
    <row r="205" spans="2:8" ht="30" customHeight="1">
      <c r="B205" s="318">
        <v>37</v>
      </c>
      <c r="C205" s="319"/>
      <c r="D205" s="320"/>
      <c r="E205" s="28" t="s">
        <v>246</v>
      </c>
      <c r="F205" s="26">
        <f>F206</f>
        <v>51</v>
      </c>
      <c r="G205" s="246">
        <f>G206</f>
        <v>50.74</v>
      </c>
      <c r="H205" s="252">
        <f t="shared" si="5"/>
        <v>99.490196078431381</v>
      </c>
    </row>
    <row r="206" spans="2:8" ht="30" customHeight="1">
      <c r="B206" s="29"/>
      <c r="C206" s="30">
        <v>372</v>
      </c>
      <c r="D206" s="25"/>
      <c r="E206" s="28" t="s">
        <v>132</v>
      </c>
      <c r="F206" s="26">
        <v>51</v>
      </c>
      <c r="G206" s="246">
        <f>G207</f>
        <v>50.74</v>
      </c>
      <c r="H206" s="252">
        <f t="shared" si="5"/>
        <v>99.490196078431381</v>
      </c>
    </row>
    <row r="207" spans="2:8" ht="30" customHeight="1">
      <c r="B207" s="29"/>
      <c r="C207" s="30"/>
      <c r="D207" s="25">
        <v>3722</v>
      </c>
      <c r="E207" s="28" t="s">
        <v>248</v>
      </c>
      <c r="F207" s="26"/>
      <c r="G207" s="246">
        <v>50.74</v>
      </c>
      <c r="H207" s="252"/>
    </row>
    <row r="208" spans="2:8" ht="30" customHeight="1">
      <c r="B208" s="29">
        <v>42</v>
      </c>
      <c r="C208" s="30"/>
      <c r="D208" s="25"/>
      <c r="E208" s="28" t="s">
        <v>15</v>
      </c>
      <c r="F208" s="26">
        <f>F209+F211</f>
        <v>2610</v>
      </c>
      <c r="G208" s="246">
        <f>G209+G211</f>
        <v>2809.5</v>
      </c>
      <c r="H208" s="252">
        <f t="shared" si="5"/>
        <v>107.64367816091954</v>
      </c>
    </row>
    <row r="209" spans="2:8" ht="30" customHeight="1">
      <c r="B209" s="29"/>
      <c r="C209" s="30">
        <v>422</v>
      </c>
      <c r="D209" s="25"/>
      <c r="E209" s="28" t="s">
        <v>14</v>
      </c>
      <c r="F209" s="26">
        <v>2600</v>
      </c>
      <c r="G209" s="246">
        <f>G210</f>
        <v>2805.9</v>
      </c>
      <c r="H209" s="252">
        <f t="shared" si="5"/>
        <v>107.91923076923078</v>
      </c>
    </row>
    <row r="210" spans="2:8" ht="30" customHeight="1">
      <c r="B210" s="29"/>
      <c r="C210" s="30"/>
      <c r="D210" s="25">
        <v>4221</v>
      </c>
      <c r="E210" s="28" t="s">
        <v>177</v>
      </c>
      <c r="F210" s="26"/>
      <c r="G210" s="246">
        <v>2805.9</v>
      </c>
      <c r="H210" s="252"/>
    </row>
    <row r="211" spans="2:8" ht="30" customHeight="1">
      <c r="B211" s="29"/>
      <c r="C211" s="30">
        <v>424</v>
      </c>
      <c r="D211" s="25"/>
      <c r="E211" s="28" t="s">
        <v>230</v>
      </c>
      <c r="F211" s="26">
        <v>10</v>
      </c>
      <c r="G211" s="246">
        <f>G212</f>
        <v>3.6</v>
      </c>
      <c r="H211" s="252">
        <f t="shared" si="5"/>
        <v>36</v>
      </c>
    </row>
    <row r="212" spans="2:8" ht="30" customHeight="1">
      <c r="B212" s="29"/>
      <c r="C212" s="30"/>
      <c r="D212" s="25">
        <v>4241</v>
      </c>
      <c r="E212" s="28" t="s">
        <v>53</v>
      </c>
      <c r="F212" s="26"/>
      <c r="G212" s="246">
        <v>3.6</v>
      </c>
      <c r="H212" s="252"/>
    </row>
    <row r="213" spans="2:8" ht="30" customHeight="1">
      <c r="B213" s="321" t="s">
        <v>107</v>
      </c>
      <c r="C213" s="322"/>
      <c r="D213" s="323"/>
      <c r="E213" s="235" t="s">
        <v>108</v>
      </c>
      <c r="F213" s="230">
        <f t="shared" ref="F213:G215" si="6">F214</f>
        <v>20000</v>
      </c>
      <c r="G213" s="250">
        <f t="shared" si="6"/>
        <v>18076.38</v>
      </c>
      <c r="H213" s="252">
        <f t="shared" si="5"/>
        <v>90.381900000000002</v>
      </c>
    </row>
    <row r="214" spans="2:8" ht="30" customHeight="1">
      <c r="B214" s="29" t="s">
        <v>87</v>
      </c>
      <c r="C214" s="30"/>
      <c r="D214" s="25"/>
      <c r="E214" s="111" t="s">
        <v>219</v>
      </c>
      <c r="F214" s="26">
        <f t="shared" si="6"/>
        <v>20000</v>
      </c>
      <c r="G214" s="246">
        <f t="shared" si="6"/>
        <v>18076.38</v>
      </c>
      <c r="H214" s="252">
        <f t="shared" si="5"/>
        <v>90.381900000000002</v>
      </c>
    </row>
    <row r="215" spans="2:8" ht="30" customHeight="1">
      <c r="B215" s="318">
        <v>32</v>
      </c>
      <c r="C215" s="319"/>
      <c r="D215" s="320"/>
      <c r="E215" s="28" t="s">
        <v>4</v>
      </c>
      <c r="F215" s="26">
        <f t="shared" si="6"/>
        <v>20000</v>
      </c>
      <c r="G215" s="246">
        <f t="shared" si="6"/>
        <v>18076.38</v>
      </c>
      <c r="H215" s="252">
        <f t="shared" si="5"/>
        <v>90.381900000000002</v>
      </c>
    </row>
    <row r="216" spans="2:8" ht="30" customHeight="1">
      <c r="B216" s="29"/>
      <c r="C216" s="30">
        <v>322</v>
      </c>
      <c r="D216" s="25"/>
      <c r="E216" s="28" t="s">
        <v>7</v>
      </c>
      <c r="F216" s="26">
        <v>20000</v>
      </c>
      <c r="G216" s="246">
        <f>G217</f>
        <v>18076.38</v>
      </c>
      <c r="H216" s="252">
        <f t="shared" si="5"/>
        <v>90.381900000000002</v>
      </c>
    </row>
    <row r="217" spans="2:8" ht="30" customHeight="1">
      <c r="B217" s="29"/>
      <c r="C217" s="30"/>
      <c r="D217" s="25">
        <v>3222</v>
      </c>
      <c r="E217" s="28" t="s">
        <v>168</v>
      </c>
      <c r="F217" s="26"/>
      <c r="G217" s="246">
        <v>18076.38</v>
      </c>
      <c r="H217" s="252"/>
    </row>
    <row r="218" spans="2:8" ht="35.25" customHeight="1">
      <c r="B218" s="321" t="s">
        <v>106</v>
      </c>
      <c r="C218" s="322"/>
      <c r="D218" s="323"/>
      <c r="E218" s="236" t="s">
        <v>109</v>
      </c>
      <c r="F218" s="230">
        <f t="shared" ref="F218:G220" si="7">F219</f>
        <v>153</v>
      </c>
      <c r="G218" s="250">
        <f t="shared" si="7"/>
        <v>153</v>
      </c>
      <c r="H218" s="252">
        <f t="shared" si="5"/>
        <v>100</v>
      </c>
    </row>
    <row r="219" spans="2:8" ht="35.25" customHeight="1">
      <c r="B219" s="29" t="s">
        <v>87</v>
      </c>
      <c r="C219" s="30"/>
      <c r="D219" s="25"/>
      <c r="E219" s="111" t="s">
        <v>219</v>
      </c>
      <c r="F219" s="26">
        <f t="shared" si="7"/>
        <v>153</v>
      </c>
      <c r="G219" s="246">
        <f t="shared" si="7"/>
        <v>153</v>
      </c>
      <c r="H219" s="252">
        <f t="shared" si="5"/>
        <v>100</v>
      </c>
    </row>
    <row r="220" spans="2:8" ht="30" customHeight="1">
      <c r="B220" s="318">
        <v>38</v>
      </c>
      <c r="C220" s="319"/>
      <c r="D220" s="320"/>
      <c r="E220" s="28" t="s">
        <v>133</v>
      </c>
      <c r="F220" s="26">
        <f t="shared" si="7"/>
        <v>153</v>
      </c>
      <c r="G220" s="246">
        <f t="shared" si="7"/>
        <v>153</v>
      </c>
      <c r="H220" s="252">
        <f t="shared" si="5"/>
        <v>100</v>
      </c>
    </row>
    <row r="221" spans="2:8" ht="30" customHeight="1">
      <c r="B221" s="29"/>
      <c r="C221" s="30">
        <v>381</v>
      </c>
      <c r="D221" s="25"/>
      <c r="E221" s="28" t="s">
        <v>59</v>
      </c>
      <c r="F221" s="26">
        <v>153</v>
      </c>
      <c r="G221" s="246">
        <f>G222</f>
        <v>153</v>
      </c>
      <c r="H221" s="252">
        <f t="shared" si="5"/>
        <v>100</v>
      </c>
    </row>
    <row r="222" spans="2:8" ht="32.25" customHeight="1">
      <c r="B222" s="140"/>
      <c r="C222" s="141"/>
      <c r="D222" s="25">
        <v>3812</v>
      </c>
      <c r="E222" s="28" t="s">
        <v>134</v>
      </c>
      <c r="F222" s="26"/>
      <c r="G222" s="246">
        <v>153</v>
      </c>
      <c r="H222" s="252"/>
    </row>
    <row r="223" spans="2:8" ht="38.25" customHeight="1">
      <c r="B223" s="321" t="s">
        <v>217</v>
      </c>
      <c r="C223" s="322"/>
      <c r="D223" s="323"/>
      <c r="E223" s="235" t="s">
        <v>218</v>
      </c>
      <c r="F223" s="230">
        <f>F224+F235+F239</f>
        <v>47082</v>
      </c>
      <c r="G223" s="250">
        <f>G224+G235+G239</f>
        <v>46348.39</v>
      </c>
      <c r="H223" s="252">
        <f t="shared" si="5"/>
        <v>98.441846140775667</v>
      </c>
    </row>
    <row r="224" spans="2:8" ht="38.25" customHeight="1">
      <c r="B224" s="29" t="s">
        <v>84</v>
      </c>
      <c r="C224" s="30"/>
      <c r="D224" s="25"/>
      <c r="E224" s="28" t="s">
        <v>202</v>
      </c>
      <c r="F224" s="26">
        <f>F225+F232</f>
        <v>9195</v>
      </c>
      <c r="G224" s="246">
        <f>G225+G232</f>
        <v>9179.32</v>
      </c>
      <c r="H224" s="252">
        <f t="shared" si="5"/>
        <v>99.829472539423591</v>
      </c>
    </row>
    <row r="225" spans="2:8" ht="30" customHeight="1">
      <c r="B225" s="29">
        <v>31</v>
      </c>
      <c r="C225" s="141"/>
      <c r="D225" s="25"/>
      <c r="E225" s="171" t="s">
        <v>0</v>
      </c>
      <c r="F225" s="26">
        <f>F226+F228+F230</f>
        <v>8529</v>
      </c>
      <c r="G225" s="246">
        <f>G226+G228+G230</f>
        <v>8521.01</v>
      </c>
      <c r="H225" s="252">
        <f t="shared" si="5"/>
        <v>99.906319615429723</v>
      </c>
    </row>
    <row r="226" spans="2:8" ht="30" customHeight="1">
      <c r="B226" s="29"/>
      <c r="C226" s="30">
        <v>311</v>
      </c>
      <c r="D226" s="25"/>
      <c r="E226" s="28" t="s">
        <v>229</v>
      </c>
      <c r="F226" s="26">
        <v>7028</v>
      </c>
      <c r="G226" s="246">
        <f>G227</f>
        <v>7022.34</v>
      </c>
      <c r="H226" s="252">
        <f t="shared" si="5"/>
        <v>99.919464997154236</v>
      </c>
    </row>
    <row r="227" spans="2:8" ht="30" customHeight="1">
      <c r="B227" s="140"/>
      <c r="C227" s="141"/>
      <c r="D227" s="25">
        <v>3111</v>
      </c>
      <c r="E227" s="28" t="s">
        <v>22</v>
      </c>
      <c r="F227" s="26"/>
      <c r="G227" s="246">
        <v>7022.34</v>
      </c>
      <c r="H227" s="252"/>
    </row>
    <row r="228" spans="2:8" ht="30" customHeight="1">
      <c r="B228" s="140"/>
      <c r="C228" s="30">
        <v>312</v>
      </c>
      <c r="D228" s="25"/>
      <c r="E228" s="28" t="s">
        <v>166</v>
      </c>
      <c r="F228" s="26">
        <v>340</v>
      </c>
      <c r="G228" s="246">
        <f>G229</f>
        <v>340</v>
      </c>
      <c r="H228" s="252">
        <f t="shared" si="5"/>
        <v>100</v>
      </c>
    </row>
    <row r="229" spans="2:8" ht="30" customHeight="1">
      <c r="B229" s="140"/>
      <c r="C229" s="141"/>
      <c r="D229" s="25">
        <v>3121</v>
      </c>
      <c r="E229" s="28" t="s">
        <v>166</v>
      </c>
      <c r="F229" s="26"/>
      <c r="G229" s="246">
        <v>340</v>
      </c>
      <c r="H229" s="252"/>
    </row>
    <row r="230" spans="2:8" ht="30" customHeight="1">
      <c r="B230" s="140"/>
      <c r="C230" s="30">
        <v>313</v>
      </c>
      <c r="D230" s="25"/>
      <c r="E230" s="28" t="s">
        <v>3</v>
      </c>
      <c r="F230" s="26">
        <v>1161</v>
      </c>
      <c r="G230" s="246">
        <f>G231</f>
        <v>1158.67</v>
      </c>
      <c r="H230" s="252">
        <f t="shared" si="5"/>
        <v>99.799310938845835</v>
      </c>
    </row>
    <row r="231" spans="2:8" ht="30" customHeight="1">
      <c r="B231" s="140"/>
      <c r="C231" s="141"/>
      <c r="D231" s="25">
        <v>3132</v>
      </c>
      <c r="E231" s="28" t="s">
        <v>23</v>
      </c>
      <c r="F231" s="26"/>
      <c r="G231" s="246">
        <v>1158.67</v>
      </c>
      <c r="H231" s="252"/>
    </row>
    <row r="232" spans="2:8" ht="30" customHeight="1">
      <c r="B232" s="29">
        <v>32</v>
      </c>
      <c r="C232" s="141"/>
      <c r="D232" s="25"/>
      <c r="E232" s="28" t="s">
        <v>4</v>
      </c>
      <c r="F232" s="26">
        <f>F233</f>
        <v>666</v>
      </c>
      <c r="G232" s="246">
        <f>G233</f>
        <v>658.31</v>
      </c>
      <c r="H232" s="252">
        <f t="shared" si="5"/>
        <v>98.845345345345336</v>
      </c>
    </row>
    <row r="233" spans="2:8" ht="30" customHeight="1">
      <c r="B233" s="29"/>
      <c r="C233" s="30">
        <v>321</v>
      </c>
      <c r="D233" s="25"/>
      <c r="E233" s="28" t="s">
        <v>5</v>
      </c>
      <c r="F233" s="26">
        <v>666</v>
      </c>
      <c r="G233" s="246">
        <f>G234</f>
        <v>658.31</v>
      </c>
      <c r="H233" s="252">
        <f t="shared" si="5"/>
        <v>98.845345345345336</v>
      </c>
    </row>
    <row r="234" spans="2:8" ht="30" customHeight="1">
      <c r="B234" s="140"/>
      <c r="C234" s="141"/>
      <c r="D234" s="25">
        <v>3212</v>
      </c>
      <c r="E234" s="28" t="s">
        <v>206</v>
      </c>
      <c r="F234" s="26"/>
      <c r="G234" s="246">
        <v>658.31</v>
      </c>
      <c r="H234" s="252"/>
    </row>
    <row r="235" spans="2:8" ht="30" customHeight="1">
      <c r="B235" s="140" t="s">
        <v>95</v>
      </c>
      <c r="C235" s="141"/>
      <c r="D235" s="25"/>
      <c r="E235" s="28" t="s">
        <v>96</v>
      </c>
      <c r="F235" s="26">
        <f>F236</f>
        <v>15000</v>
      </c>
      <c r="G235" s="246">
        <f>G236</f>
        <v>16350</v>
      </c>
      <c r="H235" s="252">
        <f t="shared" si="5"/>
        <v>109.00000000000001</v>
      </c>
    </row>
    <row r="236" spans="2:8" ht="30" customHeight="1">
      <c r="B236" s="29">
        <v>32</v>
      </c>
      <c r="C236" s="141"/>
      <c r="D236" s="25"/>
      <c r="E236" s="28" t="s">
        <v>4</v>
      </c>
      <c r="F236" s="26">
        <v>15000</v>
      </c>
      <c r="G236" s="246">
        <f>G237</f>
        <v>16350</v>
      </c>
      <c r="H236" s="252">
        <f t="shared" si="5"/>
        <v>109.00000000000001</v>
      </c>
    </row>
    <row r="237" spans="2:8" ht="30" customHeight="1">
      <c r="B237" s="140"/>
      <c r="C237" s="141">
        <v>323</v>
      </c>
      <c r="D237" s="25"/>
      <c r="E237" s="28" t="s">
        <v>9</v>
      </c>
      <c r="F237" s="26"/>
      <c r="G237" s="246">
        <f>G238</f>
        <v>16350</v>
      </c>
      <c r="H237" s="252"/>
    </row>
    <row r="238" spans="2:8" ht="30" customHeight="1">
      <c r="B238" s="140"/>
      <c r="C238" s="141"/>
      <c r="D238" s="216">
        <v>3239</v>
      </c>
      <c r="E238" s="28" t="s">
        <v>10</v>
      </c>
      <c r="F238" s="26"/>
      <c r="G238" s="246">
        <v>16350</v>
      </c>
      <c r="H238" s="252"/>
    </row>
    <row r="239" spans="2:8" ht="30" customHeight="1">
      <c r="B239" s="140" t="s">
        <v>207</v>
      </c>
      <c r="C239" s="141"/>
      <c r="D239" s="25"/>
      <c r="E239" s="28" t="s">
        <v>208</v>
      </c>
      <c r="F239" s="26">
        <f>F240+F247</f>
        <v>22887</v>
      </c>
      <c r="G239" s="246">
        <f>G240+G247</f>
        <v>20819.07</v>
      </c>
      <c r="H239" s="252">
        <f t="shared" si="5"/>
        <v>90.964608729846645</v>
      </c>
    </row>
    <row r="240" spans="2:8" ht="30" customHeight="1">
      <c r="B240" s="29">
        <v>31</v>
      </c>
      <c r="C240" s="141"/>
      <c r="D240" s="25"/>
      <c r="E240" s="171" t="s">
        <v>0</v>
      </c>
      <c r="F240" s="26">
        <f>F241+F243+F245</f>
        <v>21309</v>
      </c>
      <c r="G240" s="241">
        <f>G241+G243+G245</f>
        <v>19381.18</v>
      </c>
      <c r="H240" s="252">
        <f t="shared" si="5"/>
        <v>90.95302454362006</v>
      </c>
    </row>
    <row r="241" spans="2:8" ht="30" customHeight="1">
      <c r="B241" s="29"/>
      <c r="C241" s="30">
        <v>311</v>
      </c>
      <c r="D241" s="25"/>
      <c r="E241" s="28" t="s">
        <v>229</v>
      </c>
      <c r="F241" s="26">
        <v>17647</v>
      </c>
      <c r="G241" s="241">
        <f>G242</f>
        <v>16069.68</v>
      </c>
      <c r="H241" s="252">
        <f t="shared" si="5"/>
        <v>91.061823539411805</v>
      </c>
    </row>
    <row r="242" spans="2:8" ht="30" customHeight="1">
      <c r="B242" s="140"/>
      <c r="C242" s="141"/>
      <c r="D242" s="25">
        <v>3111</v>
      </c>
      <c r="E242" s="28" t="s">
        <v>22</v>
      </c>
      <c r="F242" s="26"/>
      <c r="G242" s="241">
        <v>16069.68</v>
      </c>
      <c r="H242" s="252"/>
    </row>
    <row r="243" spans="2:8" ht="30" customHeight="1">
      <c r="B243" s="140"/>
      <c r="C243" s="30">
        <v>312</v>
      </c>
      <c r="D243" s="25"/>
      <c r="E243" s="28" t="s">
        <v>166</v>
      </c>
      <c r="F243" s="26">
        <v>750</v>
      </c>
      <c r="G243" s="241">
        <f>G244</f>
        <v>660</v>
      </c>
      <c r="H243" s="252">
        <f t="shared" si="5"/>
        <v>88</v>
      </c>
    </row>
    <row r="244" spans="2:8" ht="30" customHeight="1">
      <c r="B244" s="140"/>
      <c r="C244" s="141"/>
      <c r="D244" s="25">
        <v>3121</v>
      </c>
      <c r="E244" s="28" t="s">
        <v>166</v>
      </c>
      <c r="F244" s="173"/>
      <c r="G244" s="195">
        <v>660</v>
      </c>
      <c r="H244" s="252"/>
    </row>
    <row r="245" spans="2:8" ht="30" customHeight="1">
      <c r="B245" s="140"/>
      <c r="C245" s="30">
        <v>313</v>
      </c>
      <c r="D245" s="25"/>
      <c r="E245" s="28" t="s">
        <v>3</v>
      </c>
      <c r="F245" s="204">
        <v>2912</v>
      </c>
      <c r="G245" s="195">
        <f>G246</f>
        <v>2651.5</v>
      </c>
      <c r="H245" s="252">
        <f t="shared" si="5"/>
        <v>91.054258241758248</v>
      </c>
    </row>
    <row r="246" spans="2:8" ht="30" customHeight="1">
      <c r="B246" s="140"/>
      <c r="C246" s="141"/>
      <c r="D246" s="25">
        <v>3132</v>
      </c>
      <c r="E246" s="28" t="s">
        <v>23</v>
      </c>
      <c r="F246" s="173"/>
      <c r="G246" s="195">
        <v>2651.5</v>
      </c>
      <c r="H246" s="252"/>
    </row>
    <row r="247" spans="2:8" ht="30" customHeight="1">
      <c r="B247" s="29">
        <v>32</v>
      </c>
      <c r="C247" s="141"/>
      <c r="D247" s="25"/>
      <c r="E247" s="28" t="s">
        <v>4</v>
      </c>
      <c r="F247" s="174">
        <f>F248</f>
        <v>1578</v>
      </c>
      <c r="G247" s="195">
        <f>G248</f>
        <v>1437.89</v>
      </c>
      <c r="H247" s="252">
        <f t="shared" si="5"/>
        <v>91.121039290240816</v>
      </c>
    </row>
    <row r="248" spans="2:8" ht="30" customHeight="1">
      <c r="B248" s="29"/>
      <c r="C248" s="30">
        <v>321</v>
      </c>
      <c r="D248" s="25"/>
      <c r="E248" s="28" t="s">
        <v>5</v>
      </c>
      <c r="F248" s="174">
        <v>1578</v>
      </c>
      <c r="G248" s="195">
        <f>G249</f>
        <v>1437.89</v>
      </c>
      <c r="H248" s="252">
        <f t="shared" si="5"/>
        <v>91.121039290240816</v>
      </c>
    </row>
    <row r="249" spans="2:8" ht="30" customHeight="1" thickBot="1">
      <c r="B249" s="140"/>
      <c r="C249" s="141"/>
      <c r="D249" s="25">
        <v>3212</v>
      </c>
      <c r="E249" s="28" t="s">
        <v>206</v>
      </c>
      <c r="F249" s="173"/>
      <c r="G249" s="195">
        <v>1437.89</v>
      </c>
      <c r="H249" s="253"/>
    </row>
  </sheetData>
  <mergeCells count="28">
    <mergeCell ref="B223:D223"/>
    <mergeCell ref="B205:D205"/>
    <mergeCell ref="B213:D213"/>
    <mergeCell ref="B215:D215"/>
    <mergeCell ref="B218:D218"/>
    <mergeCell ref="B220:D220"/>
    <mergeCell ref="B191:D191"/>
    <mergeCell ref="B153:D153"/>
    <mergeCell ref="B155:D155"/>
    <mergeCell ref="B166:D166"/>
    <mergeCell ref="B171:D171"/>
    <mergeCell ref="B174:D174"/>
    <mergeCell ref="B176:D176"/>
    <mergeCell ref="B185:D185"/>
    <mergeCell ref="B158:D158"/>
    <mergeCell ref="B152:D152"/>
    <mergeCell ref="B67:D67"/>
    <mergeCell ref="B2:H2"/>
    <mergeCell ref="B4:H4"/>
    <mergeCell ref="B6:E6"/>
    <mergeCell ref="B7:E7"/>
    <mergeCell ref="B61:D61"/>
    <mergeCell ref="B146:D146"/>
    <mergeCell ref="B147:D147"/>
    <mergeCell ref="B62:D62"/>
    <mergeCell ref="B19:D19"/>
    <mergeCell ref="B23:D23"/>
    <mergeCell ref="B50:D5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ignoredErrors>
    <ignoredError sqref="G1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</vt:lpstr>
      <vt:lpstr>Rashodi i prihodi prema izvoru</vt:lpstr>
      <vt:lpstr>Rashodi prema funkcijskoj klas</vt:lpstr>
      <vt:lpstr>Račun financiranja</vt:lpstr>
      <vt:lpstr>Račun fin prema izvorima f</vt:lpstr>
      <vt:lpstr>Rashodi prema programskoj klas</vt:lpstr>
      <vt:lpstr>'RAČUN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Korisnik</cp:lastModifiedBy>
  <cp:lastPrinted>2026-03-25T07:47:38Z</cp:lastPrinted>
  <dcterms:created xsi:type="dcterms:W3CDTF">1996-10-14T23:33:28Z</dcterms:created>
  <dcterms:modified xsi:type="dcterms:W3CDTF">2026-03-25T07:47:56Z</dcterms:modified>
</cp:coreProperties>
</file>